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11" sheetId="91" r:id="rId76"/>
    <sheet name="412" sheetId="92" r:id="rId77"/>
    <sheet name="420" sheetId="98" r:id="rId78"/>
    <sheet name="413" sheetId="93" r:id="rId79"/>
    <sheet name="414" sheetId="94" r:id="rId80"/>
    <sheet name="415" sheetId="95" r:id="rId81"/>
    <sheet name="418" sheetId="97" r:id="rId82"/>
    <sheet name="423" sheetId="99" r:id="rId83"/>
    <sheet name="424" sheetId="100" r:id="rId84"/>
    <sheet name="425" sheetId="101" r:id="rId85"/>
    <sheet name="455" sheetId="108" r:id="rId86"/>
    <sheet name="492" sheetId="45" r:id="rId87"/>
    <sheet name="430" sheetId="102" r:id="rId88"/>
    <sheet name="433" sheetId="103" r:id="rId89"/>
    <sheet name="435" sheetId="104" r:id="rId90"/>
    <sheet name="444" sheetId="105" r:id="rId91"/>
    <sheet name="450" sheetId="107" r:id="rId92"/>
    <sheet name="Div 5" sheetId="48" r:id="rId93"/>
    <sheet name="501" sheetId="109" r:id="rId94"/>
    <sheet name="Dept" sheetId="110" state="hidden" r:id="rId95"/>
    <sheet name="OSR_Dept_Y0WUKY" sheetId="111" state="hidden" r:id="rId96"/>
    <sheet name="OSR_Summary (...56e5d78f_5JEYZH" sheetId="112" state="hidden" r:id="rId97"/>
  </sheets>
  <definedNames>
    <definedName name="OSRRefD13x_0" localSheetId="41">'201'!$D$13</definedName>
    <definedName name="OSRRefD13x_0" localSheetId="42">'202'!$D$13</definedName>
    <definedName name="OSRRefD13x_0" localSheetId="48">'300'!$D$13:$D$69</definedName>
    <definedName name="OSRRefD13x_0" localSheetId="49">'300 &amp; 317'!$D$13:$D$84</definedName>
    <definedName name="OSRRefD13x_0" localSheetId="52">'307'!$D$13:$D$20</definedName>
    <definedName name="OSRRefD13x_0" localSheetId="53">'308'!$D$13:$D$31</definedName>
    <definedName name="OSRRefD13x_0" localSheetId="64">'309'!$D$13</definedName>
    <definedName name="OSRRefD13x_0" localSheetId="63">'310'!$D$13:$D$16</definedName>
    <definedName name="OSRRefD13x_0" localSheetId="71">'310 &amp; 491'!$D$13:$D$20</definedName>
    <definedName name="OSRRefD13x_0" localSheetId="54">'311'!$D$13:$D$30</definedName>
    <definedName name="OSRRefD13x_0" localSheetId="65">'313'!$D$13</definedName>
    <definedName name="OSRRefD13x_0" localSheetId="57">'315'!$D$13:$D$48</definedName>
    <definedName name="OSRRefD13x_0" localSheetId="60">'316'!$D$13:$D$22</definedName>
    <definedName name="OSRRefD13x_0" localSheetId="62">'317'!$D$13:$D$29</definedName>
    <definedName name="OSRRefD13x_0" localSheetId="66">'321'!$D$13:$D$15</definedName>
    <definedName name="OSRRefD13x_0" localSheetId="55">'324'!$D$13:$D$16</definedName>
    <definedName name="OSRRefD13x_0" localSheetId="58">'326'!$D$13:$D$29</definedName>
    <definedName name="OSRRefD13x_0" localSheetId="69">'327'!$D$13:$D$14</definedName>
    <definedName name="OSRRefD13x_0" localSheetId="51">'330'!$D$13:$D$20</definedName>
    <definedName name="OSRRefD13x_0" localSheetId="56">'331'!$D$13:$D$48</definedName>
    <definedName name="OSRRefD13x_0" localSheetId="59">'332'!$D$13:$D$22</definedName>
    <definedName name="OSRRefD13x_0" localSheetId="73">'405'!$D$13:$D$14</definedName>
    <definedName name="OSRRefD13x_0" localSheetId="76">'412'!$D$13</definedName>
    <definedName name="OSRRefD13x_0" localSheetId="78">'413'!$D$13:$D$14</definedName>
    <definedName name="OSRRefD13x_0" localSheetId="79">'414'!$D$13:$D$15</definedName>
    <definedName name="OSRRefD13x_0" localSheetId="80">'415'!$D$13:$D$16</definedName>
    <definedName name="OSRRefD13x_0" localSheetId="81">'418'!$D$13:$D$14</definedName>
    <definedName name="OSRRefD13x_0" localSheetId="88">'433'!$D$13:$D$16</definedName>
    <definedName name="OSRRefD13x_0" localSheetId="90">'444'!$D$13:$D$16</definedName>
    <definedName name="OSRRefD13x_0" localSheetId="91">'450'!$D$13</definedName>
    <definedName name="OSRRefD13x_0" localSheetId="72">'491'!$D$13:$D$17</definedName>
    <definedName name="OSRRefD13x_0" localSheetId="86">'492'!$D$13:$D$16</definedName>
    <definedName name="OSRRefD13x_0" localSheetId="93">'501'!$D$13</definedName>
    <definedName name="OSRRefD13x_0" localSheetId="39">'Div 2'!$D$13</definedName>
    <definedName name="OSRRefD13x_0" localSheetId="47">'Div 3'!$D$13:$D$71</definedName>
    <definedName name="OSRRefD13x_0" localSheetId="70">'Div 4'!$D$13:$D$19</definedName>
    <definedName name="OSRRefD13x_0" localSheetId="92">'Div 5'!$D$13</definedName>
    <definedName name="OSRRefD13x_0" localSheetId="61">'Div 6'!$D$13:$D$29</definedName>
    <definedName name="OSRRefD13x_0" localSheetId="2">Summary!$D$13:$D$90</definedName>
    <definedName name="OSRRefD16x_0" localSheetId="48">'300'!$D$72:$D$93</definedName>
    <definedName name="OSRRefD16x_0" localSheetId="49">'300 &amp; 317'!$D$87:$D$115</definedName>
    <definedName name="OSRRefD16x_0" localSheetId="52">'307'!$D$23:$D$25</definedName>
    <definedName name="OSRRefD16x_0" localSheetId="53">'308'!$D$34:$D$44</definedName>
    <definedName name="OSRRefD16x_0" localSheetId="63">'310'!$D$19:$D$21</definedName>
    <definedName name="OSRRefD16x_0" localSheetId="71">'310 &amp; 491'!$D$23:$D$25</definedName>
    <definedName name="OSRRefD16x_0" localSheetId="54">'311'!$D$33:$D$43</definedName>
    <definedName name="OSRRefD16x_0" localSheetId="65">'313'!$D$16:$D$17</definedName>
    <definedName name="OSRRefD16x_0" localSheetId="57">'315'!$D$51:$D$63</definedName>
    <definedName name="OSRRefD16x_0" localSheetId="62">'317'!$D$32:$D$41</definedName>
    <definedName name="OSRRefD16x_0" localSheetId="66">'321'!$D$18:$D$19</definedName>
    <definedName name="OSRRefD16x_0" localSheetId="67">'322'!$D$15</definedName>
    <definedName name="OSRRefD16x_0" localSheetId="55">'324'!$D$19:$D$21</definedName>
    <definedName name="OSRRefD16x_0" localSheetId="68">'325'!$D$15</definedName>
    <definedName name="OSRRefD16x_0" localSheetId="58">'326'!$D$32:$D$33</definedName>
    <definedName name="OSRRefD16x_0" localSheetId="69">'327'!$D$17:$D$18</definedName>
    <definedName name="OSRRefD16x_0" localSheetId="51">'330'!$D$23:$D$25</definedName>
    <definedName name="OSRRefD16x_0" localSheetId="56">'331'!$D$51:$D$63</definedName>
    <definedName name="OSRRefD16x_0" localSheetId="73">'405'!$D$17</definedName>
    <definedName name="OSRRefD16x_0" localSheetId="76">'412'!$D$16</definedName>
    <definedName name="OSRRefD16x_0" localSheetId="78">'413'!$D$17</definedName>
    <definedName name="OSRRefD16x_0" localSheetId="79">'414'!$D$18</definedName>
    <definedName name="OSRRefD16x_0" localSheetId="80">'415'!$D$19:$D$21</definedName>
    <definedName name="OSRRefD16x_0" localSheetId="81">'418'!$D$17</definedName>
    <definedName name="OSRRefD16x_0" localSheetId="88">'433'!$D$19:$D$21</definedName>
    <definedName name="OSRRefD16x_0" localSheetId="90">'444'!$D$19:$D$21</definedName>
    <definedName name="OSRRefD16x_0" localSheetId="91">'450'!$D$16</definedName>
    <definedName name="OSRRefD16x_0" localSheetId="72">'491'!$D$20:$D$22</definedName>
    <definedName name="OSRRefD16x_0" localSheetId="86">'492'!$D$19:$D$21</definedName>
    <definedName name="OSRRefD16x_0" localSheetId="47">'Div 3'!$D$74:$D$97</definedName>
    <definedName name="OSRRefD16x_0" localSheetId="70">'Div 4'!$D$22:$D$24</definedName>
    <definedName name="OSRRefD16x_0" localSheetId="61">'Div 6'!$D$32:$D$41</definedName>
    <definedName name="OSRRefD16x_0" localSheetId="2">Summary!$D$93:$D$123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'300'!$D$99:$D$108</definedName>
    <definedName name="OSRRefD22_0x_0" localSheetId="49">'300 &amp; 317'!$D$121:$D$130</definedName>
    <definedName name="OSRRefD22_0x_0" localSheetId="50">'301'!$D$20:$D$28</definedName>
    <definedName name="OSRRefD22_0x_0" localSheetId="52">'307'!$D$31:$D$38</definedName>
    <definedName name="OSRRefD22_0x_0" localSheetId="53">'308'!$D$50:$D$59</definedName>
    <definedName name="OSRRefD22_0x_0" localSheetId="64">'309'!$D$21:$D$28</definedName>
    <definedName name="OSRRefD22_0x_0" localSheetId="63">'310'!$D$27:$D$35</definedName>
    <definedName name="OSRRefD22_0x_0" localSheetId="71">'310 &amp; 491'!$D$31:$D$39</definedName>
    <definedName name="OSRRefD22_0x_0" localSheetId="54">'311'!$D$49:$D$58</definedName>
    <definedName name="OSRRefD22_0x_0" localSheetId="65">'313'!$D$23:$D$31</definedName>
    <definedName name="OSRRefD22_0x_0" localSheetId="57">'315'!$D$69:$D$77</definedName>
    <definedName name="OSRRefD22_0x_0" localSheetId="60">'316'!$D$30:$D$38</definedName>
    <definedName name="OSRRefD22_0x_0" localSheetId="62">'317'!$D$47:$D$56</definedName>
    <definedName name="OSRRefD22_0x_0" localSheetId="66">'321'!$D$25:$D$33</definedName>
    <definedName name="OSRRefD22_0x_0" localSheetId="67">'322'!$D$21:$D$28</definedName>
    <definedName name="OSRRefD22_0x_0" localSheetId="55">'324'!$D$27:$D$34</definedName>
    <definedName name="OSRRefD22_0x_0" localSheetId="68">'325'!$D$21:$D$28</definedName>
    <definedName name="OSRRefD22_0x_0" localSheetId="58">'326'!$D$39:$D$47</definedName>
    <definedName name="OSRRefD22_0x_0" localSheetId="69">'327'!$D$24</definedName>
    <definedName name="OSRRefD22_0x_0" localSheetId="51">'330'!$D$31:$D$38</definedName>
    <definedName name="OSRRefD22_0x_0" localSheetId="56">'331'!$D$69:$D$77</definedName>
    <definedName name="OSRRefD22_0x_0" localSheetId="59">'332'!$D$30:$D$38</definedName>
    <definedName name="OSRRefD22_0x_0" localSheetId="73">'405'!$D$23:$D$30</definedName>
    <definedName name="OSRRefD22_0x_0" localSheetId="74">'406'!$D$20</definedName>
    <definedName name="OSRRefD22_0x_0" localSheetId="75">'411'!$D$20:$D$28</definedName>
    <definedName name="OSRRefD22_0x_0" localSheetId="76">'412'!$D$22:$D$29</definedName>
    <definedName name="OSRRefD22_0x_0" localSheetId="78">'413'!$D$23:$D$31</definedName>
    <definedName name="OSRRefD22_0x_0" localSheetId="79">'414'!$D$24:$D$32</definedName>
    <definedName name="OSRRefD22_0x_0" localSheetId="80">'415'!$D$27:$D$35</definedName>
    <definedName name="OSRRefD22_0x_0" localSheetId="81">'418'!$D$23:$D$30</definedName>
    <definedName name="OSRRefD22_0x_0" localSheetId="82">'423'!$D$20:$D$27</definedName>
    <definedName name="OSRRefD22_0x_0" localSheetId="83">'424'!$D$20</definedName>
    <definedName name="OSRRefD22_0x_0" localSheetId="84">'425'!$D$20:$D$24</definedName>
    <definedName name="OSRRefD22_0x_0" localSheetId="87">'430'!$D$20:$D$28</definedName>
    <definedName name="OSRRefD22_0x_0" localSheetId="88">'433'!$D$27:$D$36</definedName>
    <definedName name="OSRRefD22_0x_0" localSheetId="89">'435'!$D$20</definedName>
    <definedName name="OSRRefD22_0x_0" localSheetId="90">'444'!$D$27:$D$36</definedName>
    <definedName name="OSRRefD22_0x_0" localSheetId="91">'450'!$D$22:$D$31</definedName>
    <definedName name="OSRRefD22_0x_0" localSheetId="72">'491'!$D$28:$D$36</definedName>
    <definedName name="OSRRefD22_0x_0" localSheetId="86">'492'!$D$27:$D$36</definedName>
    <definedName name="OSRRefD22_0x_0" localSheetId="93">'501'!$D$21:$D$30</definedName>
    <definedName name="OSRRefD22_0x_0" localSheetId="39">'Div 2'!$D$21:$D$31</definedName>
    <definedName name="OSRRefD22_0x_0" localSheetId="47">'Div 3'!$D$103:$D$112</definedName>
    <definedName name="OSRRefD22_0x_0" localSheetId="70">'Div 4'!$D$30:$D$39</definedName>
    <definedName name="OSRRefD22_0x_0" localSheetId="92">'Div 5'!$D$21:$D$30</definedName>
    <definedName name="OSRRefD22_0x_0" localSheetId="61">'Div 6'!$D$47:$D$56</definedName>
    <definedName name="OSRRefD22_0x_0" localSheetId="2">Summary!$D$129:$D$138</definedName>
    <definedName name="OSRRefD22_10x_0" localSheetId="41">'201'!$D$58</definedName>
    <definedName name="OSRRefD22_10x_0" localSheetId="42">'202'!$D$62</definedName>
    <definedName name="OSRRefD22_10x_0" localSheetId="43">'203'!$D$61</definedName>
    <definedName name="OSRRefD22_10x_0" localSheetId="44">'204'!$D$63</definedName>
    <definedName name="OSRRefD22_10x_0" localSheetId="48">'300'!$D$140:$D$141</definedName>
    <definedName name="OSRRefD22_10x_0" localSheetId="49">'300 &amp; 317'!$D$162:$D$163</definedName>
    <definedName name="OSRRefD22_10x_0" localSheetId="50">'301'!$D$59</definedName>
    <definedName name="OSRRefD22_10x_0" localSheetId="52">'307'!$D$68:$D$69</definedName>
    <definedName name="OSRRefD22_10x_0" localSheetId="53">'308'!$D$90</definedName>
    <definedName name="OSRRefD22_10x_0" localSheetId="63">'310'!$D$65</definedName>
    <definedName name="OSRRefD22_10x_0" localSheetId="71">'310 &amp; 491'!$D$70</definedName>
    <definedName name="OSRRefD22_10x_0" localSheetId="54">'311'!$D$89</definedName>
    <definedName name="OSRRefD22_10x_0" localSheetId="65">'313'!$D$63</definedName>
    <definedName name="OSRRefD22_10x_0" localSheetId="57">'315'!$D$107</definedName>
    <definedName name="OSRRefD22_10x_0" localSheetId="60">'316'!$D$71</definedName>
    <definedName name="OSRRefD22_10x_0" localSheetId="62">'317'!$D$86:$D$88</definedName>
    <definedName name="OSRRefD22_10x_0" localSheetId="66">'321'!$D$63:$D$65</definedName>
    <definedName name="OSRRefD22_10x_0" localSheetId="67">'322'!$D$62</definedName>
    <definedName name="OSRRefD22_10x_0" localSheetId="68">'325'!$D$59:$D$61</definedName>
    <definedName name="OSRRefD22_10x_0" localSheetId="58">'326'!$D$77</definedName>
    <definedName name="OSRRefD22_10x_0" localSheetId="51">'330'!$D$68:$D$69</definedName>
    <definedName name="OSRRefD22_10x_0" localSheetId="56">'331'!$D$108</definedName>
    <definedName name="OSRRefD22_10x_0" localSheetId="59">'332'!$D$71</definedName>
    <definedName name="OSRRefD22_10x_0" localSheetId="73">'405'!$D$64</definedName>
    <definedName name="OSRRefD22_10x_0" localSheetId="75">'411'!$D$68</definedName>
    <definedName name="OSRRefD22_10x_0" localSheetId="76">'412'!$D$60:$D$63</definedName>
    <definedName name="OSRRefD22_10x_0" localSheetId="78">'413'!$D$69:$D$70</definedName>
    <definedName name="OSRRefD22_10x_0" localSheetId="79">'414'!$D$61</definedName>
    <definedName name="OSRRefD22_10x_0" localSheetId="80">'415'!$D$65:$D$66</definedName>
    <definedName name="OSRRefD22_10x_0" localSheetId="81">'418'!$D$63</definedName>
    <definedName name="OSRRefD22_10x_0" localSheetId="88">'433'!$D$65</definedName>
    <definedName name="OSRRefD22_10x_0" localSheetId="90">'444'!$D$65</definedName>
    <definedName name="OSRRefD22_10x_0" localSheetId="91">'450'!$D$60</definedName>
    <definedName name="OSRRefD22_10x_0" localSheetId="72">'491'!$D$67</definedName>
    <definedName name="OSRRefD22_10x_0" localSheetId="86">'492'!$D$65</definedName>
    <definedName name="OSRRefD22_10x_0" localSheetId="93">'501'!$D$61:$D$62</definedName>
    <definedName name="OSRRefD22_10x_0" localSheetId="39">'Div 2'!$D$62</definedName>
    <definedName name="OSRRefD22_10x_0" localSheetId="47">'Div 3'!$D$144:$D$145</definedName>
    <definedName name="OSRRefD22_10x_0" localSheetId="70">'Div 4'!$D$70</definedName>
    <definedName name="OSRRefD22_10x_0" localSheetId="92">'Div 5'!$D$61:$D$62</definedName>
    <definedName name="OSRRefD22_10x_0" localSheetId="61">'Div 6'!$D$86:$D$88</definedName>
    <definedName name="OSRRefD22_10x_0" localSheetId="2">Summary!$D$171:$D$172</definedName>
    <definedName name="OSRRefD22_11x_0" localSheetId="41">'201'!$D$60:$D$62</definedName>
    <definedName name="OSRRefD22_11x_0" localSheetId="42">'202'!$D$64</definedName>
    <definedName name="OSRRefD22_11x_0" localSheetId="43">'203'!$D$63:$D$65</definedName>
    <definedName name="OSRRefD22_11x_0" localSheetId="48">'300'!$D$143:$D$145</definedName>
    <definedName name="OSRRefD22_11x_0" localSheetId="49">'300 &amp; 317'!$D$165:$D$167</definedName>
    <definedName name="OSRRefD22_11x_0" localSheetId="50">'301'!$D$61</definedName>
    <definedName name="OSRRefD22_11x_0" localSheetId="52">'307'!$D$71:$D$74</definedName>
    <definedName name="OSRRefD22_11x_0" localSheetId="53">'308'!$D$92:$D$94</definedName>
    <definedName name="OSRRefD22_11x_0" localSheetId="63">'310'!$D$67:$D$68</definedName>
    <definedName name="OSRRefD22_11x_0" localSheetId="71">'310 &amp; 491'!$D$72</definedName>
    <definedName name="OSRRefD22_11x_0" localSheetId="54">'311'!$D$91:$D$93</definedName>
    <definedName name="OSRRefD22_11x_0" localSheetId="57">'315'!$D$109</definedName>
    <definedName name="OSRRefD22_11x_0" localSheetId="60">'316'!$D$73</definedName>
    <definedName name="OSRRefD22_11x_0" localSheetId="62">'317'!$D$90</definedName>
    <definedName name="OSRRefD22_11x_0" localSheetId="66">'321'!$D$67:$D$68</definedName>
    <definedName name="OSRRefD22_11x_0" localSheetId="67">'322'!$D$64</definedName>
    <definedName name="OSRRefD22_11x_0" localSheetId="68">'325'!$D$63</definedName>
    <definedName name="OSRRefD22_11x_0" localSheetId="58">'326'!$D$79</definedName>
    <definedName name="OSRRefD22_11x_0" localSheetId="51">'330'!$D$71:$D$74</definedName>
    <definedName name="OSRRefD22_11x_0" localSheetId="56">'331'!$D$110</definedName>
    <definedName name="OSRRefD22_11x_0" localSheetId="59">'332'!$D$73</definedName>
    <definedName name="OSRRefD22_11x_0" localSheetId="73">'405'!$D$66:$D$74</definedName>
    <definedName name="OSRRefD22_11x_0" localSheetId="75">'411'!$D$70</definedName>
    <definedName name="OSRRefD22_11x_0" localSheetId="76">'412'!$D$65:$D$69</definedName>
    <definedName name="OSRRefD22_11x_0" localSheetId="79">'414'!$D$63:$D$65</definedName>
    <definedName name="OSRRefD22_11x_0" localSheetId="80">'415'!$D$68:$D$72</definedName>
    <definedName name="OSRRefD22_11x_0" localSheetId="81">'418'!$D$65:$D$74</definedName>
    <definedName name="OSRRefD22_11x_0" localSheetId="88">'433'!$D$67:$D$68</definedName>
    <definedName name="OSRRefD22_11x_0" localSheetId="90">'444'!$D$67:$D$69</definedName>
    <definedName name="OSRRefD22_11x_0" localSheetId="91">'450'!$D$62</definedName>
    <definedName name="OSRRefD22_11x_0" localSheetId="72">'491'!$D$69</definedName>
    <definedName name="OSRRefD22_11x_0" localSheetId="86">'492'!$D$67</definedName>
    <definedName name="OSRRefD22_11x_0" localSheetId="93">'501'!$D$64</definedName>
    <definedName name="OSRRefD22_11x_0" localSheetId="39">'Div 2'!$D$64:$D$65</definedName>
    <definedName name="OSRRefD22_11x_0" localSheetId="47">'Div 3'!$D$147:$D$149</definedName>
    <definedName name="OSRRefD22_11x_0" localSheetId="70">'Div 4'!$D$72</definedName>
    <definedName name="OSRRefD22_11x_0" localSheetId="92">'Div 5'!$D$64</definedName>
    <definedName name="OSRRefD22_11x_0" localSheetId="61">'Div 6'!$D$90</definedName>
    <definedName name="OSRRefD22_11x_0" localSheetId="2">Summary!$D$174:$D$176</definedName>
    <definedName name="OSRRefD22_12x_0" localSheetId="41">'201'!$D$64</definedName>
    <definedName name="OSRRefD22_12x_0" localSheetId="42">'202'!$D$66</definedName>
    <definedName name="OSRRefD22_12x_0" localSheetId="43">'203'!$D$67</definedName>
    <definedName name="OSRRefD22_12x_0" localSheetId="48">'300'!$D$147</definedName>
    <definedName name="OSRRefD22_12x_0" localSheetId="49">'300 &amp; 317'!$D$169</definedName>
    <definedName name="OSRRefD22_12x_0" localSheetId="50">'301'!$D$63</definedName>
    <definedName name="OSRRefD22_12x_0" localSheetId="52">'307'!$D$76:$D$77</definedName>
    <definedName name="OSRRefD22_12x_0" localSheetId="53">'308'!$D$96:$D$97</definedName>
    <definedName name="OSRRefD22_12x_0" localSheetId="63">'310'!$D$70</definedName>
    <definedName name="OSRRefD22_12x_0" localSheetId="71">'310 &amp; 491'!$D$74</definedName>
    <definedName name="OSRRefD22_12x_0" localSheetId="54">'311'!$D$95:$D$96</definedName>
    <definedName name="OSRRefD22_12x_0" localSheetId="57">'315'!$D$111:$D$113</definedName>
    <definedName name="OSRRefD22_12x_0" localSheetId="66">'321'!$D$70</definedName>
    <definedName name="OSRRefD22_12x_0" localSheetId="68">'325'!$D$65:$D$67</definedName>
    <definedName name="OSRRefD22_12x_0" localSheetId="58">'326'!$D$81</definedName>
    <definedName name="OSRRefD22_12x_0" localSheetId="51">'330'!$D$76:$D$77</definedName>
    <definedName name="OSRRefD22_12x_0" localSheetId="56">'331'!$D$112</definedName>
    <definedName name="OSRRefD22_12x_0" localSheetId="73">'405'!$D$76</definedName>
    <definedName name="OSRRefD22_12x_0" localSheetId="75">'411'!$D$72</definedName>
    <definedName name="OSRRefD22_12x_0" localSheetId="76">'412'!$D$71:$D$72</definedName>
    <definedName name="OSRRefD22_12x_0" localSheetId="79">'414'!$D$67</definedName>
    <definedName name="OSRRefD22_12x_0" localSheetId="80">'415'!$D$74</definedName>
    <definedName name="OSRRefD22_12x_0" localSheetId="81">'418'!$D$76:$D$77</definedName>
    <definedName name="OSRRefD22_12x_0" localSheetId="88">'433'!$D$70:$D$73</definedName>
    <definedName name="OSRRefD22_12x_0" localSheetId="90">'444'!$D$71:$D$73</definedName>
    <definedName name="OSRRefD22_12x_0" localSheetId="91">'450'!$D$64</definedName>
    <definedName name="OSRRefD22_12x_0" localSheetId="72">'491'!$D$71:$D$73</definedName>
    <definedName name="OSRRefD22_12x_0" localSheetId="86">'492'!$D$69:$D$71</definedName>
    <definedName name="OSRRefD22_12x_0" localSheetId="39">'Div 2'!$D$67:$D$70</definedName>
    <definedName name="OSRRefD22_12x_0" localSheetId="47">'Div 3'!$D$151</definedName>
    <definedName name="OSRRefD22_12x_0" localSheetId="70">'Div 4'!$D$74</definedName>
    <definedName name="OSRRefD22_12x_0" localSheetId="2">Summary!$D$178</definedName>
    <definedName name="OSRRefD22_13x_0" localSheetId="43">'203'!$D$69</definedName>
    <definedName name="OSRRefD22_13x_0" localSheetId="48">'300'!$D$149</definedName>
    <definedName name="OSRRefD22_13x_0" localSheetId="49">'300 &amp; 317'!$D$171</definedName>
    <definedName name="OSRRefD22_13x_0" localSheetId="50">'301'!$D$65:$D$68</definedName>
    <definedName name="OSRRefD22_13x_0" localSheetId="52">'307'!$D$79</definedName>
    <definedName name="OSRRefD22_13x_0" localSheetId="53">'308'!$D$99</definedName>
    <definedName name="OSRRefD22_13x_0" localSheetId="63">'310'!$D$72:$D$75</definedName>
    <definedName name="OSRRefD22_13x_0" localSheetId="71">'310 &amp; 491'!$D$76:$D$78</definedName>
    <definedName name="OSRRefD22_13x_0" localSheetId="54">'311'!$D$98</definedName>
    <definedName name="OSRRefD22_13x_0" localSheetId="57">'315'!$D$115</definedName>
    <definedName name="OSRRefD22_13x_0" localSheetId="66">'321'!$D$72</definedName>
    <definedName name="OSRRefD22_13x_0" localSheetId="68">'325'!$D$69:$D$70</definedName>
    <definedName name="OSRRefD22_13x_0" localSheetId="58">'326'!$D$83</definedName>
    <definedName name="OSRRefD22_13x_0" localSheetId="51">'330'!$D$79</definedName>
    <definedName name="OSRRefD22_13x_0" localSheetId="56">'331'!$D$114</definedName>
    <definedName name="OSRRefD22_13x_0" localSheetId="73">'405'!$D$78</definedName>
    <definedName name="OSRRefD22_13x_0" localSheetId="76">'412'!$D$74</definedName>
    <definedName name="OSRRefD22_13x_0" localSheetId="79">'414'!$D$69</definedName>
    <definedName name="OSRRefD22_13x_0" localSheetId="80">'415'!$D$76:$D$82</definedName>
    <definedName name="OSRRefD22_13x_0" localSheetId="81">'418'!$D$79</definedName>
    <definedName name="OSRRefD22_13x_0" localSheetId="88">'433'!$D$75:$D$82</definedName>
    <definedName name="OSRRefD22_13x_0" localSheetId="90">'444'!$D$75:$D$83</definedName>
    <definedName name="OSRRefD22_13x_0" localSheetId="91">'450'!$D$66:$D$68</definedName>
    <definedName name="OSRRefD22_13x_0" localSheetId="72">'491'!$D$75:$D$76</definedName>
    <definedName name="OSRRefD22_13x_0" localSheetId="86">'492'!$D$73:$D$76</definedName>
    <definedName name="OSRRefD22_13x_0" localSheetId="39">'Div 2'!$D$72:$D$75</definedName>
    <definedName name="OSRRefD22_13x_0" localSheetId="47">'Div 3'!$D$153</definedName>
    <definedName name="OSRRefD22_13x_0" localSheetId="70">'Div 4'!$D$76</definedName>
    <definedName name="OSRRefD22_13x_0" localSheetId="2">Summary!$D$180</definedName>
    <definedName name="OSRRefD22_14x_0" localSheetId="48">'300'!$D$151</definedName>
    <definedName name="OSRRefD22_14x_0" localSheetId="49">'300 &amp; 317'!$D$173</definedName>
    <definedName name="OSRRefD22_14x_0" localSheetId="50">'301'!$D$70:$D$72</definedName>
    <definedName name="OSRRefD22_14x_0" localSheetId="63">'310'!$D$77</definedName>
    <definedName name="OSRRefD22_14x_0" localSheetId="71">'310 &amp; 491'!$D$80:$D$81</definedName>
    <definedName name="OSRRefD22_14x_0" localSheetId="57">'315'!$D$117:$D$123</definedName>
    <definedName name="OSRRefD22_14x_0" localSheetId="68">'325'!$D$72</definedName>
    <definedName name="OSRRefD22_14x_0" localSheetId="58">'326'!$D$85:$D$87</definedName>
    <definedName name="OSRRefD22_14x_0" localSheetId="56">'331'!$D$116</definedName>
    <definedName name="OSRRefD22_14x_0" localSheetId="73">'405'!$D$80</definedName>
    <definedName name="OSRRefD22_14x_0" localSheetId="79">'414'!$D$71</definedName>
    <definedName name="OSRRefD22_14x_0" localSheetId="80">'415'!$D$84:$D$85</definedName>
    <definedName name="OSRRefD22_14x_0" localSheetId="88">'433'!$D$84</definedName>
    <definedName name="OSRRefD22_14x_0" localSheetId="90">'444'!$D$85:$D$86</definedName>
    <definedName name="OSRRefD22_14x_0" localSheetId="91">'450'!$D$70:$D$75</definedName>
    <definedName name="OSRRefD22_14x_0" localSheetId="72">'491'!$D$78:$D$82</definedName>
    <definedName name="OSRRefD22_14x_0" localSheetId="86">'492'!$D$78:$D$87</definedName>
    <definedName name="OSRRefD22_14x_0" localSheetId="39">'Div 2'!$D$77:$D$78</definedName>
    <definedName name="OSRRefD22_14x_0" localSheetId="47">'Div 3'!$D$155</definedName>
    <definedName name="OSRRefD22_14x_0" localSheetId="70">'Div 4'!$D$78:$D$80</definedName>
    <definedName name="OSRRefD22_14x_0" localSheetId="2">Summary!$D$182</definedName>
    <definedName name="OSRRefD22_15x_0" localSheetId="48">'300'!$D$153</definedName>
    <definedName name="OSRRefD22_15x_0" localSheetId="49">'300 &amp; 317'!$D$175</definedName>
    <definedName name="OSRRefD22_15x_0" localSheetId="50">'301'!$D$74</definedName>
    <definedName name="OSRRefD22_15x_0" localSheetId="63">'310'!$D$79:$D$83</definedName>
    <definedName name="OSRRefD22_15x_0" localSheetId="71">'310 &amp; 491'!$D$83:$D$87</definedName>
    <definedName name="OSRRefD22_15x_0" localSheetId="57">'315'!$D$125</definedName>
    <definedName name="OSRRefD22_15x_0" localSheetId="58">'326'!$D$89:$D$90</definedName>
    <definedName name="OSRRefD22_15x_0" localSheetId="56">'331'!$D$118:$D$120</definedName>
    <definedName name="OSRRefD22_15x_0" localSheetId="80">'415'!$D$87</definedName>
    <definedName name="OSRRefD22_15x_0" localSheetId="90">'444'!$D$88</definedName>
    <definedName name="OSRRefD22_15x_0" localSheetId="91">'450'!$D$77:$D$78</definedName>
    <definedName name="OSRRefD22_15x_0" localSheetId="72">'491'!$D$84</definedName>
    <definedName name="OSRRefD22_15x_0" localSheetId="86">'492'!$D$89:$D$90</definedName>
    <definedName name="OSRRefD22_15x_0" localSheetId="39">'Div 2'!$D$80:$D$81</definedName>
    <definedName name="OSRRefD22_15x_0" localSheetId="47">'Div 3'!$D$157</definedName>
    <definedName name="OSRRefD22_15x_0" localSheetId="70">'Div 4'!$D$82:$D$83</definedName>
    <definedName name="OSRRefD22_15x_0" localSheetId="2">Summary!$D$184</definedName>
    <definedName name="OSRRefD22_16x_0" localSheetId="48">'300'!$D$155:$D$158</definedName>
    <definedName name="OSRRefD22_16x_0" localSheetId="49">'300 &amp; 317'!$D$177:$D$180</definedName>
    <definedName name="OSRRefD22_16x_0" localSheetId="50">'301'!$D$76:$D$81</definedName>
    <definedName name="OSRRefD22_16x_0" localSheetId="63">'310'!$D$85:$D$86</definedName>
    <definedName name="OSRRefD22_16x_0" localSheetId="71">'310 &amp; 491'!$D$89</definedName>
    <definedName name="OSRRefD22_16x_0" localSheetId="57">'315'!$D$127:$D$128</definedName>
    <definedName name="OSRRefD22_16x_0" localSheetId="58">'326'!$D$92:$D$97</definedName>
    <definedName name="OSRRefD22_16x_0" localSheetId="56">'331'!$D$122:$D$124</definedName>
    <definedName name="OSRRefD22_16x_0" localSheetId="91">'450'!$D$80</definedName>
    <definedName name="OSRRefD22_16x_0" localSheetId="72">'491'!$D$86:$D$96</definedName>
    <definedName name="OSRRefD22_16x_0" localSheetId="86">'492'!$D$92</definedName>
    <definedName name="OSRRefD22_16x_0" localSheetId="39">'Div 2'!$D$83:$D$87</definedName>
    <definedName name="OSRRefD22_16x_0" localSheetId="47">'Div 3'!$D$159</definedName>
    <definedName name="OSRRefD22_16x_0" localSheetId="70">'Div 4'!$D$85:$D$89</definedName>
    <definedName name="OSRRefD22_16x_0" localSheetId="2">Summary!$D$186</definedName>
    <definedName name="OSRRefD22_17x_0" localSheetId="48">'300'!$D$160:$D$163</definedName>
    <definedName name="OSRRefD22_17x_0" localSheetId="49">'300 &amp; 317'!$D$182:$D$185</definedName>
    <definedName name="OSRRefD22_17x_0" localSheetId="50">'301'!$D$83</definedName>
    <definedName name="OSRRefD22_17x_0" localSheetId="63">'310'!$D$88</definedName>
    <definedName name="OSRRefD22_17x_0" localSheetId="71">'310 &amp; 491'!$D$91:$D$101</definedName>
    <definedName name="OSRRefD22_17x_0" localSheetId="58">'326'!$D$99:$D$100</definedName>
    <definedName name="OSRRefD22_17x_0" localSheetId="56">'331'!$D$126:$D$127</definedName>
    <definedName name="OSRRefD22_17x_0" localSheetId="72">'491'!$D$98:$D$99</definedName>
    <definedName name="OSRRefD22_17x_0" localSheetId="86">'492'!$D$94</definedName>
    <definedName name="OSRRefD22_17x_0" localSheetId="39">'Div 2'!$D$89:$D$90</definedName>
    <definedName name="OSRRefD22_17x_0" localSheetId="47">'Div 3'!$D$161:$D$164</definedName>
    <definedName name="OSRRefD22_17x_0" localSheetId="70">'Div 4'!$D$91</definedName>
    <definedName name="OSRRefD22_17x_0" localSheetId="2">Summary!$D$188</definedName>
    <definedName name="OSRRefD22_18x_0" localSheetId="48">'300'!$D$165:$D$168</definedName>
    <definedName name="OSRRefD22_18x_0" localSheetId="49">'300 &amp; 317'!$D$187:$D$190</definedName>
    <definedName name="OSRRefD22_18x_0" localSheetId="50">'301'!$D$85</definedName>
    <definedName name="OSRRefD22_18x_0" localSheetId="63">'310'!$D$90</definedName>
    <definedName name="OSRRefD22_18x_0" localSheetId="71">'310 &amp; 491'!$D$103:$D$104</definedName>
    <definedName name="OSRRefD22_18x_0" localSheetId="58">'326'!$D$102</definedName>
    <definedName name="OSRRefD22_18x_0" localSheetId="56">'331'!$D$129:$D$136</definedName>
    <definedName name="OSRRefD22_18x_0" localSheetId="72">'491'!$D$101</definedName>
    <definedName name="OSRRefD22_18x_0" localSheetId="39">'Div 2'!$D$92</definedName>
    <definedName name="OSRRefD22_18x_0" localSheetId="47">'Div 3'!$D$166:$D$169</definedName>
    <definedName name="OSRRefD22_18x_0" localSheetId="70">'Div 4'!$D$93:$D$103</definedName>
    <definedName name="OSRRefD22_18x_0" localSheetId="2">Summary!$D$190:$D$193</definedName>
    <definedName name="OSRRefD22_19x_0" localSheetId="48">'300'!$D$170:$D$171</definedName>
    <definedName name="OSRRefD22_19x_0" localSheetId="49">'300 &amp; 317'!$D$192:$D$193</definedName>
    <definedName name="OSRRefD22_19x_0" localSheetId="50">'301'!$D$87</definedName>
    <definedName name="OSRRefD22_19x_0" localSheetId="71">'310 &amp; 491'!$D$106</definedName>
    <definedName name="OSRRefD22_19x_0" localSheetId="58">'326'!$D$104:$D$105</definedName>
    <definedName name="OSRRefD22_19x_0" localSheetId="56">'331'!$D$138:$D$139</definedName>
    <definedName name="OSRRefD22_19x_0" localSheetId="72">'491'!$D$103:$D$104</definedName>
    <definedName name="OSRRefD22_19x_0" localSheetId="39">'Div 2'!$D$94:$D$95</definedName>
    <definedName name="OSRRefD22_19x_0" localSheetId="47">'Div 3'!$D$171:$D$175</definedName>
    <definedName name="OSRRefD22_19x_0" localSheetId="70">'Div 4'!$D$105:$D$106</definedName>
    <definedName name="OSRRefD22_19x_0" localSheetId="2">Summary!$D$195:$D$198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'300'!$D$110:$D$119</definedName>
    <definedName name="OSRRefD22_1x_0" localSheetId="49">'300 &amp; 317'!$D$132:$D$141</definedName>
    <definedName name="OSRRefD22_1x_0" localSheetId="50">'301'!$D$30:$D$39</definedName>
    <definedName name="OSRRefD22_1x_0" localSheetId="52">'307'!$D$40:$D$49</definedName>
    <definedName name="OSRRefD22_1x_0" localSheetId="53">'308'!$D$61:$D$70</definedName>
    <definedName name="OSRRefD22_1x_0" localSheetId="64">'309'!$D$30:$D$39</definedName>
    <definedName name="OSRRefD22_1x_0" localSheetId="63">'310'!$D$37:$D$46</definedName>
    <definedName name="OSRRefD22_1x_0" localSheetId="71">'310 &amp; 491'!$D$41:$D$50</definedName>
    <definedName name="OSRRefD22_1x_0" localSheetId="54">'311'!$D$60:$D$69</definedName>
    <definedName name="OSRRefD22_1x_0" localSheetId="65">'313'!$D$33:$D$42</definedName>
    <definedName name="OSRRefD22_1x_0" localSheetId="57">'315'!$D$79:$D$88</definedName>
    <definedName name="OSRRefD22_1x_0" localSheetId="60">'316'!$D$40:$D$49</definedName>
    <definedName name="OSRRefD22_1x_0" localSheetId="62">'317'!$D$58:$D$67</definedName>
    <definedName name="OSRRefD22_1x_0" localSheetId="66">'321'!$D$35:$D$44</definedName>
    <definedName name="OSRRefD22_1x_0" localSheetId="67">'322'!$D$30:$D$39</definedName>
    <definedName name="OSRRefD22_1x_0" localSheetId="55">'324'!$D$36:$D$45</definedName>
    <definedName name="OSRRefD22_1x_0" localSheetId="68">'325'!$D$30:$D$39</definedName>
    <definedName name="OSRRefD22_1x_0" localSheetId="58">'326'!$D$49:$D$58</definedName>
    <definedName name="OSRRefD22_1x_0" localSheetId="51">'330'!$D$40:$D$49</definedName>
    <definedName name="OSRRefD22_1x_0" localSheetId="56">'331'!$D$79:$D$88</definedName>
    <definedName name="OSRRefD22_1x_0" localSheetId="59">'332'!$D$40:$D$49</definedName>
    <definedName name="OSRRefD22_1x_0" localSheetId="73">'405'!$D$32:$D$41</definedName>
    <definedName name="OSRRefD22_1x_0" localSheetId="74">'406'!$D$22</definedName>
    <definedName name="OSRRefD22_1x_0" localSheetId="75">'411'!$D$30:$D$39</definedName>
    <definedName name="OSRRefD22_1x_0" localSheetId="76">'412'!$D$31:$D$40</definedName>
    <definedName name="OSRRefD22_1x_0" localSheetId="78">'413'!$D$33:$D$42</definedName>
    <definedName name="OSRRefD22_1x_0" localSheetId="79">'414'!$D$34:$D$43</definedName>
    <definedName name="OSRRefD22_1x_0" localSheetId="80">'415'!$D$37:$D$46</definedName>
    <definedName name="OSRRefD22_1x_0" localSheetId="81">'418'!$D$32:$D$41</definedName>
    <definedName name="OSRRefD22_1x_0" localSheetId="82">'423'!$D$29:$D$38</definedName>
    <definedName name="OSRRefD22_1x_0" localSheetId="83">'424'!$D$22</definedName>
    <definedName name="OSRRefD22_1x_0" localSheetId="84">'425'!$D$26</definedName>
    <definedName name="OSRRefD22_1x_0" localSheetId="87">'430'!$D$30:$D$39</definedName>
    <definedName name="OSRRefD22_1x_0" localSheetId="88">'433'!$D$38:$D$47</definedName>
    <definedName name="OSRRefD22_1x_0" localSheetId="90">'444'!$D$38:$D$47</definedName>
    <definedName name="OSRRefD22_1x_0" localSheetId="91">'450'!$D$33:$D$42</definedName>
    <definedName name="OSRRefD22_1x_0" localSheetId="72">'491'!$D$38:$D$47</definedName>
    <definedName name="OSRRefD22_1x_0" localSheetId="86">'492'!$D$38:$D$47</definedName>
    <definedName name="OSRRefD22_1x_0" localSheetId="93">'501'!$D$32:$D$41</definedName>
    <definedName name="OSRRefD22_1x_0" localSheetId="39">'Div 2'!$D$33:$D$42</definedName>
    <definedName name="OSRRefD22_1x_0" localSheetId="47">'Div 3'!$D$114:$D$123</definedName>
    <definedName name="OSRRefD22_1x_0" localSheetId="70">'Div 4'!$D$41:$D$50</definedName>
    <definedName name="OSRRefD22_1x_0" localSheetId="92">'Div 5'!$D$32:$D$41</definedName>
    <definedName name="OSRRefD22_1x_0" localSheetId="61">'Div 6'!$D$58:$D$67</definedName>
    <definedName name="OSRRefD22_1x_0" localSheetId="2">Summary!$D$140:$D$149</definedName>
    <definedName name="OSRRefD22_20x_0" localSheetId="48">'300'!$D$173:$D$181</definedName>
    <definedName name="OSRRefD22_20x_0" localSheetId="49">'300 &amp; 317'!$D$195:$D$203</definedName>
    <definedName name="OSRRefD22_20x_0" localSheetId="50">'301'!$D$89</definedName>
    <definedName name="OSRRefD22_20x_0" localSheetId="71">'310 &amp; 491'!$D$108:$D$109</definedName>
    <definedName name="OSRRefD22_20x_0" localSheetId="58">'326'!$D$107</definedName>
    <definedName name="OSRRefD22_20x_0" localSheetId="56">'331'!$D$141</definedName>
    <definedName name="OSRRefD22_20x_0" localSheetId="72">'491'!$D$106</definedName>
    <definedName name="OSRRefD22_20x_0" localSheetId="47">'Div 3'!$D$177:$D$178</definedName>
    <definedName name="OSRRefD22_20x_0" localSheetId="70">'Div 4'!$D$108</definedName>
    <definedName name="OSRRefD22_20x_0" localSheetId="2">Summary!$D$200:$D$204</definedName>
    <definedName name="OSRRefD22_21x_0" localSheetId="48">'300'!$D$183:$D$184</definedName>
    <definedName name="OSRRefD22_21x_0" localSheetId="49">'300 &amp; 317'!$D$205:$D$206</definedName>
    <definedName name="OSRRefD22_21x_0" localSheetId="71">'310 &amp; 491'!$D$111</definedName>
    <definedName name="OSRRefD22_21x_0" localSheetId="56">'331'!$D$143:$D$144</definedName>
    <definedName name="OSRRefD22_21x_0" localSheetId="47">'Div 3'!$D$180:$D$188</definedName>
    <definedName name="OSRRefD22_21x_0" localSheetId="70">'Div 4'!$D$110:$D$111</definedName>
    <definedName name="OSRRefD22_21x_0" localSheetId="2">Summary!$D$206:$D$207</definedName>
    <definedName name="OSRRefD22_22x_0" localSheetId="48">'300'!$D$186</definedName>
    <definedName name="OSRRefD22_22x_0" localSheetId="49">'300 &amp; 317'!$D$208</definedName>
    <definedName name="OSRRefD22_22x_0" localSheetId="56">'331'!$D$146</definedName>
    <definedName name="OSRRefD22_22x_0" localSheetId="47">'Div 3'!$D$190:$D$191</definedName>
    <definedName name="OSRRefD22_22x_0" localSheetId="70">'Div 4'!$D$113</definedName>
    <definedName name="OSRRefD22_22x_0" localSheetId="2">Summary!$D$209:$D$219</definedName>
    <definedName name="OSRRefD22_23x_0" localSheetId="48">'300'!$D$188:$D$190</definedName>
    <definedName name="OSRRefD22_23x_0" localSheetId="49">'300 &amp; 317'!$D$210:$D$212</definedName>
    <definedName name="OSRRefD22_23x_0" localSheetId="47">'Div 3'!$D$193</definedName>
    <definedName name="OSRRefD22_23x_0" localSheetId="2">Summary!$D$221:$D$222</definedName>
    <definedName name="OSRRefD22_24x_0" localSheetId="48">'300'!$D$192</definedName>
    <definedName name="OSRRefD22_24x_0" localSheetId="49">'300 &amp; 317'!$D$214</definedName>
    <definedName name="OSRRefD22_24x_0" localSheetId="47">'Div 3'!$D$195:$D$197</definedName>
    <definedName name="OSRRefD22_24x_0" localSheetId="2">Summary!$D$224</definedName>
    <definedName name="OSRRefD22_25x_0" localSheetId="47">'Div 3'!$D$199</definedName>
    <definedName name="OSRRefD22_25x_0" localSheetId="2">Summary!$D$226:$D$228</definedName>
    <definedName name="OSRRefD22_26x_0" localSheetId="2">Summary!$D$230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'300'!$D$121</definedName>
    <definedName name="OSRRefD22_2x_0" localSheetId="49">'300 &amp; 317'!$D$143</definedName>
    <definedName name="OSRRefD22_2x_0" localSheetId="50">'301'!$D$41:$D$42</definedName>
    <definedName name="OSRRefD22_2x_0" localSheetId="52">'307'!$D$51</definedName>
    <definedName name="OSRRefD22_2x_0" localSheetId="53">'308'!$D$72</definedName>
    <definedName name="OSRRefD22_2x_0" localSheetId="64">'309'!$D$41</definedName>
    <definedName name="OSRRefD22_2x_0" localSheetId="63">'310'!$D$48</definedName>
    <definedName name="OSRRefD22_2x_0" localSheetId="71">'310 &amp; 491'!$D$52</definedName>
    <definedName name="OSRRefD22_2x_0" localSheetId="54">'311'!$D$71</definedName>
    <definedName name="OSRRefD22_2x_0" localSheetId="65">'313'!$D$44</definedName>
    <definedName name="OSRRefD22_2x_0" localSheetId="57">'315'!$D$90</definedName>
    <definedName name="OSRRefD22_2x_0" localSheetId="60">'316'!$D$51</definedName>
    <definedName name="OSRRefD22_2x_0" localSheetId="62">'317'!$D$69</definedName>
    <definedName name="OSRRefD22_2x_0" localSheetId="66">'321'!$D$46</definedName>
    <definedName name="OSRRefD22_2x_0" localSheetId="67">'322'!$D$41</definedName>
    <definedName name="OSRRefD22_2x_0" localSheetId="68">'325'!$D$41</definedName>
    <definedName name="OSRRefD22_2x_0" localSheetId="58">'326'!$D$60</definedName>
    <definedName name="OSRRefD22_2x_0" localSheetId="51">'330'!$D$51</definedName>
    <definedName name="OSRRefD22_2x_0" localSheetId="56">'331'!$D$90</definedName>
    <definedName name="OSRRefD22_2x_0" localSheetId="59">'332'!$D$51</definedName>
    <definedName name="OSRRefD22_2x_0" localSheetId="73">'405'!$D$43</definedName>
    <definedName name="OSRRefD22_2x_0" localSheetId="74">'406'!$D$24</definedName>
    <definedName name="OSRRefD22_2x_0" localSheetId="75">'411'!$D$41</definedName>
    <definedName name="OSRRefD22_2x_0" localSheetId="76">'412'!$D$42</definedName>
    <definedName name="OSRRefD22_2x_0" localSheetId="78">'413'!$D$44</definedName>
    <definedName name="OSRRefD22_2x_0" localSheetId="79">'414'!$D$45</definedName>
    <definedName name="OSRRefD22_2x_0" localSheetId="80">'415'!$D$48</definedName>
    <definedName name="OSRRefD22_2x_0" localSheetId="81">'418'!$D$43</definedName>
    <definedName name="OSRRefD22_2x_0" localSheetId="82">'423'!$D$40</definedName>
    <definedName name="OSRRefD22_2x_0" localSheetId="83">'424'!$D$24</definedName>
    <definedName name="OSRRefD22_2x_0" localSheetId="84">'425'!$D$28</definedName>
    <definedName name="OSRRefD22_2x_0" localSheetId="87">'430'!$D$41:$D$43</definedName>
    <definedName name="OSRRefD22_2x_0" localSheetId="88">'433'!$D$49</definedName>
    <definedName name="OSRRefD22_2x_0" localSheetId="90">'444'!$D$49</definedName>
    <definedName name="OSRRefD22_2x_0" localSheetId="91">'450'!$D$44</definedName>
    <definedName name="OSRRefD22_2x_0" localSheetId="72">'491'!$D$49</definedName>
    <definedName name="OSRRefD22_2x_0" localSheetId="86">'492'!$D$49</definedName>
    <definedName name="OSRRefD22_2x_0" localSheetId="93">'501'!$D$43</definedName>
    <definedName name="OSRRefD22_2x_0" localSheetId="39">'Div 2'!$D$44</definedName>
    <definedName name="OSRRefD22_2x_0" localSheetId="47">'Div 3'!$D$125</definedName>
    <definedName name="OSRRefD22_2x_0" localSheetId="70">'Div 4'!$D$52</definedName>
    <definedName name="OSRRefD22_2x_0" localSheetId="92">'Div 5'!$D$43</definedName>
    <definedName name="OSRRefD22_2x_0" localSheetId="61">'Div 6'!$D$69</definedName>
    <definedName name="OSRRefD22_2x_0" localSheetId="2">Summary!$D$151</definedName>
    <definedName name="OSRRefD22_3x_0" localSheetId="40">'200'!$D$26:$D$27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'205'!$D$43:$D$44</definedName>
    <definedName name="OSRRefD22_3x_0" localSheetId="46">'206'!$D$43</definedName>
    <definedName name="OSRRefD22_3x_0" localSheetId="48">'300'!$D$123:$D$124</definedName>
    <definedName name="OSRRefD22_3x_0" localSheetId="49">'300 &amp; 317'!$D$145:$D$146</definedName>
    <definedName name="OSRRefD22_3x_0" localSheetId="50">'301'!$D$44</definedName>
    <definedName name="OSRRefD22_3x_0" localSheetId="52">'307'!$D$53</definedName>
    <definedName name="OSRRefD22_3x_0" localSheetId="53">'308'!$D$74</definedName>
    <definedName name="OSRRefD22_3x_0" localSheetId="64">'309'!$D$43</definedName>
    <definedName name="OSRRefD22_3x_0" localSheetId="63">'310'!$D$50</definedName>
    <definedName name="OSRRefD22_3x_0" localSheetId="71">'310 &amp; 491'!$D$54</definedName>
    <definedName name="OSRRefD22_3x_0" localSheetId="54">'311'!$D$73</definedName>
    <definedName name="OSRRefD22_3x_0" localSheetId="65">'313'!$D$46</definedName>
    <definedName name="OSRRefD22_3x_0" localSheetId="57">'315'!$D$92</definedName>
    <definedName name="OSRRefD22_3x_0" localSheetId="60">'316'!$D$53</definedName>
    <definedName name="OSRRefD22_3x_0" localSheetId="62">'317'!$D$71</definedName>
    <definedName name="OSRRefD22_3x_0" localSheetId="66">'321'!$D$48</definedName>
    <definedName name="OSRRefD22_3x_0" localSheetId="67">'322'!$D$43</definedName>
    <definedName name="OSRRefD22_3x_0" localSheetId="68">'325'!$D$43</definedName>
    <definedName name="OSRRefD22_3x_0" localSheetId="58">'326'!$D$62</definedName>
    <definedName name="OSRRefD22_3x_0" localSheetId="51">'330'!$D$53</definedName>
    <definedName name="OSRRefD22_3x_0" localSheetId="56">'331'!$D$92</definedName>
    <definedName name="OSRRefD22_3x_0" localSheetId="59">'332'!$D$53</definedName>
    <definedName name="OSRRefD22_3x_0" localSheetId="73">'405'!$D$45</definedName>
    <definedName name="OSRRefD22_3x_0" localSheetId="74">'406'!$D$26</definedName>
    <definedName name="OSRRefD22_3x_0" localSheetId="75">'411'!$D$43</definedName>
    <definedName name="OSRRefD22_3x_0" localSheetId="76">'412'!$D$44</definedName>
    <definedName name="OSRRefD22_3x_0" localSheetId="78">'413'!$D$46</definedName>
    <definedName name="OSRRefD22_3x_0" localSheetId="79">'414'!$D$47</definedName>
    <definedName name="OSRRefD22_3x_0" localSheetId="80">'415'!$D$50</definedName>
    <definedName name="OSRRefD22_3x_0" localSheetId="81">'418'!$D$45</definedName>
    <definedName name="OSRRefD22_3x_0" localSheetId="82">'423'!$D$42:$D$43</definedName>
    <definedName name="OSRRefD22_3x_0" localSheetId="83">'424'!$D$26</definedName>
    <definedName name="OSRRefD22_3x_0" localSheetId="84">'425'!$D$30</definedName>
    <definedName name="OSRRefD22_3x_0" localSheetId="87">'430'!$D$45:$D$46</definedName>
    <definedName name="OSRRefD22_3x_0" localSheetId="88">'433'!$D$51</definedName>
    <definedName name="OSRRefD22_3x_0" localSheetId="90">'444'!$D$51</definedName>
    <definedName name="OSRRefD22_3x_0" localSheetId="91">'450'!$D$46</definedName>
    <definedName name="OSRRefD22_3x_0" localSheetId="72">'491'!$D$51</definedName>
    <definedName name="OSRRefD22_3x_0" localSheetId="86">'492'!$D$51</definedName>
    <definedName name="OSRRefD22_3x_0" localSheetId="93">'501'!$D$45</definedName>
    <definedName name="OSRRefD22_3x_0" localSheetId="39">'Div 2'!$D$46</definedName>
    <definedName name="OSRRefD22_3x_0" localSheetId="47">'Div 3'!$D$127:$D$128</definedName>
    <definedName name="OSRRefD22_3x_0" localSheetId="70">'Div 4'!$D$54</definedName>
    <definedName name="OSRRefD22_3x_0" localSheetId="92">'Div 5'!$D$45</definedName>
    <definedName name="OSRRefD22_3x_0" localSheetId="61">'Div 6'!$D$71</definedName>
    <definedName name="OSRRefD22_3x_0" localSheetId="2">Summary!$D$153:$D$154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'205'!$D$46</definedName>
    <definedName name="OSRRefD22_4x_0" localSheetId="46">'206'!$D$45</definedName>
    <definedName name="OSRRefD22_4x_0" localSheetId="48">'300'!$D$126</definedName>
    <definedName name="OSRRefD22_4x_0" localSheetId="49">'300 &amp; 317'!$D$148</definedName>
    <definedName name="OSRRefD22_4x_0" localSheetId="50">'301'!$D$46:$D$47</definedName>
    <definedName name="OSRRefD22_4x_0" localSheetId="52">'307'!$D$55</definedName>
    <definedName name="OSRRefD22_4x_0" localSheetId="53">'308'!$D$76</definedName>
    <definedName name="OSRRefD22_4x_0" localSheetId="64">'309'!$D$45:$D$46</definedName>
    <definedName name="OSRRefD22_4x_0" localSheetId="63">'310'!$D$52</definedName>
    <definedName name="OSRRefD22_4x_0" localSheetId="71">'310 &amp; 491'!$D$56</definedName>
    <definedName name="OSRRefD22_4x_0" localSheetId="54">'311'!$D$75</definedName>
    <definedName name="OSRRefD22_4x_0" localSheetId="65">'313'!$D$48</definedName>
    <definedName name="OSRRefD22_4x_0" localSheetId="57">'315'!$D$94</definedName>
    <definedName name="OSRRefD22_4x_0" localSheetId="60">'316'!$D$55</definedName>
    <definedName name="OSRRefD22_4x_0" localSheetId="62">'317'!$D$73</definedName>
    <definedName name="OSRRefD22_4x_0" localSheetId="66">'321'!$D$50</definedName>
    <definedName name="OSRRefD22_4x_0" localSheetId="67">'322'!$D$45</definedName>
    <definedName name="OSRRefD22_4x_0" localSheetId="68">'325'!$D$45</definedName>
    <definedName name="OSRRefD22_4x_0" localSheetId="58">'326'!$D$64</definedName>
    <definedName name="OSRRefD22_4x_0" localSheetId="51">'330'!$D$55</definedName>
    <definedName name="OSRRefD22_4x_0" localSheetId="56">'331'!$D$94</definedName>
    <definedName name="OSRRefD22_4x_0" localSheetId="59">'332'!$D$55</definedName>
    <definedName name="OSRRefD22_4x_0" localSheetId="73">'405'!$D$47:$D$48</definedName>
    <definedName name="OSRRefD22_4x_0" localSheetId="74">'406'!$D$28</definedName>
    <definedName name="OSRRefD22_4x_0" localSheetId="75">'411'!$D$45:$D$46</definedName>
    <definedName name="OSRRefD22_4x_0" localSheetId="76">'412'!$D$46:$D$47</definedName>
    <definedName name="OSRRefD22_4x_0" localSheetId="78">'413'!$D$48</definedName>
    <definedName name="OSRRefD22_4x_0" localSheetId="79">'414'!$D$49</definedName>
    <definedName name="OSRRefD22_4x_0" localSheetId="80">'415'!$D$52</definedName>
    <definedName name="OSRRefD22_4x_0" localSheetId="81">'418'!$D$47:$D$48</definedName>
    <definedName name="OSRRefD22_4x_0" localSheetId="82">'423'!$D$45</definedName>
    <definedName name="OSRRefD22_4x_0" localSheetId="84">'425'!$D$32</definedName>
    <definedName name="OSRRefD22_4x_0" localSheetId="87">'430'!$D$48</definedName>
    <definedName name="OSRRefD22_4x_0" localSheetId="88">'433'!$D$53</definedName>
    <definedName name="OSRRefD22_4x_0" localSheetId="90">'444'!$D$53</definedName>
    <definedName name="OSRRefD22_4x_0" localSheetId="91">'450'!$D$48</definedName>
    <definedName name="OSRRefD22_4x_0" localSheetId="72">'491'!$D$53</definedName>
    <definedName name="OSRRefD22_4x_0" localSheetId="86">'492'!$D$53</definedName>
    <definedName name="OSRRefD22_4x_0" localSheetId="93">'501'!$D$47</definedName>
    <definedName name="OSRRefD22_4x_0" localSheetId="39">'Div 2'!$D$48</definedName>
    <definedName name="OSRRefD22_4x_0" localSheetId="47">'Div 3'!$D$130</definedName>
    <definedName name="OSRRefD22_4x_0" localSheetId="70">'Div 4'!$D$56</definedName>
    <definedName name="OSRRefD22_4x_0" localSheetId="92">'Div 5'!$D$47</definedName>
    <definedName name="OSRRefD22_4x_0" localSheetId="61">'Div 6'!$D$73</definedName>
    <definedName name="OSRRefD22_4x_0" localSheetId="2">Summary!$D$156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'300'!$D$128:$D$129</definedName>
    <definedName name="OSRRefD22_5x_0" localSheetId="49">'300 &amp; 317'!$D$150:$D$151</definedName>
    <definedName name="OSRRefD22_5x_0" localSheetId="50">'301'!$D$49</definedName>
    <definedName name="OSRRefD22_5x_0" localSheetId="52">'307'!$D$57</definedName>
    <definedName name="OSRRefD22_5x_0" localSheetId="53">'308'!$D$78</definedName>
    <definedName name="OSRRefD22_5x_0" localSheetId="64">'309'!$D$48:$D$49</definedName>
    <definedName name="OSRRefD22_5x_0" localSheetId="63">'310'!$D$54:$D$55</definedName>
    <definedName name="OSRRefD22_5x_0" localSheetId="71">'310 &amp; 491'!$D$58:$D$60</definedName>
    <definedName name="OSRRefD22_5x_0" localSheetId="54">'311'!$D$77</definedName>
    <definedName name="OSRRefD22_5x_0" localSheetId="65">'313'!$D$50</definedName>
    <definedName name="OSRRefD22_5x_0" localSheetId="57">'315'!$D$96</definedName>
    <definedName name="OSRRefD22_5x_0" localSheetId="60">'316'!$D$57</definedName>
    <definedName name="OSRRefD22_5x_0" localSheetId="62">'317'!$D$75</definedName>
    <definedName name="OSRRefD22_5x_0" localSheetId="66">'321'!$D$52</definedName>
    <definedName name="OSRRefD22_5x_0" localSheetId="67">'322'!$D$47</definedName>
    <definedName name="OSRRefD22_5x_0" localSheetId="68">'325'!$D$47:$D$48</definedName>
    <definedName name="OSRRefD22_5x_0" localSheetId="58">'326'!$D$66</definedName>
    <definedName name="OSRRefD22_5x_0" localSheetId="51">'330'!$D$57</definedName>
    <definedName name="OSRRefD22_5x_0" localSheetId="56">'331'!$D$96</definedName>
    <definedName name="OSRRefD22_5x_0" localSheetId="59">'332'!$D$57</definedName>
    <definedName name="OSRRefD22_5x_0" localSheetId="73">'405'!$D$50</definedName>
    <definedName name="OSRRefD22_5x_0" localSheetId="75">'411'!$D$48</definedName>
    <definedName name="OSRRefD22_5x_0" localSheetId="76">'412'!$D$49</definedName>
    <definedName name="OSRRefD22_5x_0" localSheetId="78">'413'!$D$50</definedName>
    <definedName name="OSRRefD22_5x_0" localSheetId="79">'414'!$D$51</definedName>
    <definedName name="OSRRefD22_5x_0" localSheetId="80">'415'!$D$54:$D$55</definedName>
    <definedName name="OSRRefD22_5x_0" localSheetId="81">'418'!$D$50</definedName>
    <definedName name="OSRRefD22_5x_0" localSheetId="82">'423'!$D$47</definedName>
    <definedName name="OSRRefD22_5x_0" localSheetId="87">'430'!$D$50</definedName>
    <definedName name="OSRRefD22_5x_0" localSheetId="88">'433'!$D$55</definedName>
    <definedName name="OSRRefD22_5x_0" localSheetId="90">'444'!$D$55</definedName>
    <definedName name="OSRRefD22_5x_0" localSheetId="91">'450'!$D$50</definedName>
    <definedName name="OSRRefD22_5x_0" localSheetId="72">'491'!$D$55:$D$57</definedName>
    <definedName name="OSRRefD22_5x_0" localSheetId="86">'492'!$D$55</definedName>
    <definedName name="OSRRefD22_5x_0" localSheetId="93">'501'!$D$49:$D$50</definedName>
    <definedName name="OSRRefD22_5x_0" localSheetId="39">'Div 2'!$D$50:$D$51</definedName>
    <definedName name="OSRRefD22_5x_0" localSheetId="47">'Div 3'!$D$132:$D$133</definedName>
    <definedName name="OSRRefD22_5x_0" localSheetId="70">'Div 4'!$D$58:$D$60</definedName>
    <definedName name="OSRRefD22_5x_0" localSheetId="92">'Div 5'!$D$49:$D$50</definedName>
    <definedName name="OSRRefD22_5x_0" localSheetId="61">'Div 6'!$D$75</definedName>
    <definedName name="OSRRefD22_5x_0" localSheetId="2">Summary!$D$158:$D$160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'204'!$D$51:$D$53</definedName>
    <definedName name="OSRRefD22_6x_0" localSheetId="45">'205'!$D$50</definedName>
    <definedName name="OSRRefD22_6x_0" localSheetId="46">'206'!$D$49</definedName>
    <definedName name="OSRRefD22_6x_0" localSheetId="48">'300'!$D$131</definedName>
    <definedName name="OSRRefD22_6x_0" localSheetId="49">'300 &amp; 317'!$D$153</definedName>
    <definedName name="OSRRefD22_6x_0" localSheetId="50">'301'!$D$51</definedName>
    <definedName name="OSRRefD22_6x_0" localSheetId="52">'307'!$D$59</definedName>
    <definedName name="OSRRefD22_6x_0" localSheetId="53">'308'!$D$80</definedName>
    <definedName name="OSRRefD22_6x_0" localSheetId="64">'309'!$D$51</definedName>
    <definedName name="OSRRefD22_6x_0" localSheetId="63">'310'!$D$57</definedName>
    <definedName name="OSRRefD22_6x_0" localSheetId="71">'310 &amp; 491'!$D$62</definedName>
    <definedName name="OSRRefD22_6x_0" localSheetId="54">'311'!$D$79</definedName>
    <definedName name="OSRRefD22_6x_0" localSheetId="65">'313'!$D$52</definedName>
    <definedName name="OSRRefD22_6x_0" localSheetId="57">'315'!$D$98</definedName>
    <definedName name="OSRRefD22_6x_0" localSheetId="60">'316'!$D$59:$D$60</definedName>
    <definedName name="OSRRefD22_6x_0" localSheetId="62">'317'!$D$77:$D$78</definedName>
    <definedName name="OSRRefD22_6x_0" localSheetId="66">'321'!$D$54</definedName>
    <definedName name="OSRRefD22_6x_0" localSheetId="67">'322'!$D$49</definedName>
    <definedName name="OSRRefD22_6x_0" localSheetId="68">'325'!$D$50</definedName>
    <definedName name="OSRRefD22_6x_0" localSheetId="58">'326'!$D$68</definedName>
    <definedName name="OSRRefD22_6x_0" localSheetId="51">'330'!$D$59</definedName>
    <definedName name="OSRRefD22_6x_0" localSheetId="56">'331'!$D$98</definedName>
    <definedName name="OSRRefD22_6x_0" localSheetId="59">'332'!$D$59:$D$60</definedName>
    <definedName name="OSRRefD22_6x_0" localSheetId="73">'405'!$D$52</definedName>
    <definedName name="OSRRefD22_6x_0" localSheetId="75">'411'!$D$50</definedName>
    <definedName name="OSRRefD22_6x_0" localSheetId="76">'412'!$D$51</definedName>
    <definedName name="OSRRefD22_6x_0" localSheetId="78">'413'!$D$52</definedName>
    <definedName name="OSRRefD22_6x_0" localSheetId="79">'414'!$D$53</definedName>
    <definedName name="OSRRefD22_6x_0" localSheetId="80">'415'!$D$57</definedName>
    <definedName name="OSRRefD22_6x_0" localSheetId="81">'418'!$D$52</definedName>
    <definedName name="OSRRefD22_6x_0" localSheetId="82">'423'!$D$49</definedName>
    <definedName name="OSRRefD22_6x_0" localSheetId="88">'433'!$D$57</definedName>
    <definedName name="OSRRefD22_6x_0" localSheetId="90">'444'!$D$57</definedName>
    <definedName name="OSRRefD22_6x_0" localSheetId="91">'450'!$D$52</definedName>
    <definedName name="OSRRefD22_6x_0" localSheetId="72">'491'!$D$59</definedName>
    <definedName name="OSRRefD22_6x_0" localSheetId="86">'492'!$D$57</definedName>
    <definedName name="OSRRefD22_6x_0" localSheetId="93">'501'!$D$52</definedName>
    <definedName name="OSRRefD22_6x_0" localSheetId="39">'Div 2'!$D$53</definedName>
    <definedName name="OSRRefD22_6x_0" localSheetId="47">'Div 3'!$D$135</definedName>
    <definedName name="OSRRefD22_6x_0" localSheetId="70">'Div 4'!$D$62</definedName>
    <definedName name="OSRRefD22_6x_0" localSheetId="92">'Div 5'!$D$52</definedName>
    <definedName name="OSRRefD22_6x_0" localSheetId="61">'Div 6'!$D$77:$D$78</definedName>
    <definedName name="OSRRefD22_6x_0" localSheetId="2">Summary!$D$162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'204'!$D$55:$D$56</definedName>
    <definedName name="OSRRefD22_7x_0" localSheetId="46">'206'!$D$51</definedName>
    <definedName name="OSRRefD22_7x_0" localSheetId="48">'300'!$D$133:$D$134</definedName>
    <definedName name="OSRRefD22_7x_0" localSheetId="49">'300 &amp; 317'!$D$155:$D$156</definedName>
    <definedName name="OSRRefD22_7x_0" localSheetId="50">'301'!$D$53</definedName>
    <definedName name="OSRRefD22_7x_0" localSheetId="52">'307'!$D$61</definedName>
    <definedName name="OSRRefD22_7x_0" localSheetId="53">'308'!$D$82:$D$83</definedName>
    <definedName name="OSRRefD22_7x_0" localSheetId="63">'310'!$D$59</definedName>
    <definedName name="OSRRefD22_7x_0" localSheetId="71">'310 &amp; 491'!$D$64</definedName>
    <definedName name="OSRRefD22_7x_0" localSheetId="54">'311'!$D$81:$D$82</definedName>
    <definedName name="OSRRefD22_7x_0" localSheetId="65">'313'!$D$54</definedName>
    <definedName name="OSRRefD22_7x_0" localSheetId="57">'315'!$D$100:$D$101</definedName>
    <definedName name="OSRRefD22_7x_0" localSheetId="60">'316'!$D$62</definedName>
    <definedName name="OSRRefD22_7x_0" localSheetId="62">'317'!$D$80</definedName>
    <definedName name="OSRRefD22_7x_0" localSheetId="66">'321'!$D$56:$D$57</definedName>
    <definedName name="OSRRefD22_7x_0" localSheetId="67">'322'!$D$51:$D$52</definedName>
    <definedName name="OSRRefD22_7x_0" localSheetId="68">'325'!$D$52</definedName>
    <definedName name="OSRRefD22_7x_0" localSheetId="58">'326'!$D$70</definedName>
    <definedName name="OSRRefD22_7x_0" localSheetId="51">'330'!$D$61</definedName>
    <definedName name="OSRRefD22_7x_0" localSheetId="56">'331'!$D$100</definedName>
    <definedName name="OSRRefD22_7x_0" localSheetId="59">'332'!$D$62</definedName>
    <definedName name="OSRRefD22_7x_0" localSheetId="73">'405'!$D$54</definedName>
    <definedName name="OSRRefD22_7x_0" localSheetId="75">'411'!$D$52:$D$53</definedName>
    <definedName name="OSRRefD22_7x_0" localSheetId="76">'412'!$D$53</definedName>
    <definedName name="OSRRefD22_7x_0" localSheetId="78">'413'!$D$54:$D$55</definedName>
    <definedName name="OSRRefD22_7x_0" localSheetId="79">'414'!$D$55</definedName>
    <definedName name="OSRRefD22_7x_0" localSheetId="80">'415'!$D$59</definedName>
    <definedName name="OSRRefD22_7x_0" localSheetId="81">'418'!$D$54</definedName>
    <definedName name="OSRRefD22_7x_0" localSheetId="88">'433'!$D$59</definedName>
    <definedName name="OSRRefD22_7x_0" localSheetId="90">'444'!$D$59</definedName>
    <definedName name="OSRRefD22_7x_0" localSheetId="91">'450'!$D$54</definedName>
    <definedName name="OSRRefD22_7x_0" localSheetId="72">'491'!$D$61</definedName>
    <definedName name="OSRRefD22_7x_0" localSheetId="86">'492'!$D$59</definedName>
    <definedName name="OSRRefD22_7x_0" localSheetId="93">'501'!$D$54</definedName>
    <definedName name="OSRRefD22_7x_0" localSheetId="39">'Div 2'!$D$55</definedName>
    <definedName name="OSRRefD22_7x_0" localSheetId="47">'Div 3'!$D$137:$D$138</definedName>
    <definedName name="OSRRefD22_7x_0" localSheetId="70">'Div 4'!$D$64</definedName>
    <definedName name="OSRRefD22_7x_0" localSheetId="92">'Div 5'!$D$54</definedName>
    <definedName name="OSRRefD22_7x_0" localSheetId="61">'Div 6'!$D$80</definedName>
    <definedName name="OSRRefD22_7x_0" localSheetId="2">Summary!$D$164:$D$165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'204'!$D$58</definedName>
    <definedName name="OSRRefD22_8x_0" localSheetId="46">'206'!$D$53:$D$54</definedName>
    <definedName name="OSRRefD22_8x_0" localSheetId="48">'300'!$D$136</definedName>
    <definedName name="OSRRefD22_8x_0" localSheetId="49">'300 &amp; 317'!$D$158</definedName>
    <definedName name="OSRRefD22_8x_0" localSheetId="50">'301'!$D$55</definedName>
    <definedName name="OSRRefD22_8x_0" localSheetId="52">'307'!$D$63</definedName>
    <definedName name="OSRRefD22_8x_0" localSheetId="53">'308'!$D$85</definedName>
    <definedName name="OSRRefD22_8x_0" localSheetId="63">'310'!$D$61</definedName>
    <definedName name="OSRRefD22_8x_0" localSheetId="71">'310 &amp; 491'!$D$66</definedName>
    <definedName name="OSRRefD22_8x_0" localSheetId="54">'311'!$D$84</definedName>
    <definedName name="OSRRefD22_8x_0" localSheetId="65">'313'!$D$56:$D$58</definedName>
    <definedName name="OSRRefD22_8x_0" localSheetId="57">'315'!$D$103</definedName>
    <definedName name="OSRRefD22_8x_0" localSheetId="60">'316'!$D$64</definedName>
    <definedName name="OSRRefD22_8x_0" localSheetId="62">'317'!$D$82</definedName>
    <definedName name="OSRRefD22_8x_0" localSheetId="66">'321'!$D$59</definedName>
    <definedName name="OSRRefD22_8x_0" localSheetId="67">'322'!$D$54:$D$55</definedName>
    <definedName name="OSRRefD22_8x_0" localSheetId="68">'325'!$D$54</definedName>
    <definedName name="OSRRefD22_8x_0" localSheetId="58">'326'!$D$72:$D$73</definedName>
    <definedName name="OSRRefD22_8x_0" localSheetId="51">'330'!$D$63</definedName>
    <definedName name="OSRRefD22_8x_0" localSheetId="56">'331'!$D$102:$D$103</definedName>
    <definedName name="OSRRefD22_8x_0" localSheetId="59">'332'!$D$64</definedName>
    <definedName name="OSRRefD22_8x_0" localSheetId="73">'405'!$D$56:$D$57</definedName>
    <definedName name="OSRRefD22_8x_0" localSheetId="75">'411'!$D$55:$D$58</definedName>
    <definedName name="OSRRefD22_8x_0" localSheetId="76">'412'!$D$55:$D$56</definedName>
    <definedName name="OSRRefD22_8x_0" localSheetId="78">'413'!$D$57:$D$58</definedName>
    <definedName name="OSRRefD22_8x_0" localSheetId="79">'414'!$D$57</definedName>
    <definedName name="OSRRefD22_8x_0" localSheetId="80">'415'!$D$61</definedName>
    <definedName name="OSRRefD22_8x_0" localSheetId="81">'418'!$D$56:$D$58</definedName>
    <definedName name="OSRRefD22_8x_0" localSheetId="88">'433'!$D$61</definedName>
    <definedName name="OSRRefD22_8x_0" localSheetId="90">'444'!$D$61</definedName>
    <definedName name="OSRRefD22_8x_0" localSheetId="91">'450'!$D$56</definedName>
    <definedName name="OSRRefD22_8x_0" localSheetId="72">'491'!$D$63</definedName>
    <definedName name="OSRRefD22_8x_0" localSheetId="86">'492'!$D$61</definedName>
    <definedName name="OSRRefD22_8x_0" localSheetId="93">'501'!$D$56</definedName>
    <definedName name="OSRRefD22_8x_0" localSheetId="39">'Div 2'!$D$57</definedName>
    <definedName name="OSRRefD22_8x_0" localSheetId="47">'Div 3'!$D$140</definedName>
    <definedName name="OSRRefD22_8x_0" localSheetId="70">'Div 4'!$D$66</definedName>
    <definedName name="OSRRefD22_8x_0" localSheetId="92">'Div 5'!$D$56</definedName>
    <definedName name="OSRRefD22_8x_0" localSheetId="61">'Div 6'!$D$82</definedName>
    <definedName name="OSRRefD22_8x_0" localSheetId="2">Summary!$D$167</definedName>
    <definedName name="OSRRefD22_9x_0" localSheetId="41">'201'!$D$56</definedName>
    <definedName name="OSRRefD22_9x_0" localSheetId="42">'202'!$D$58:$D$60</definedName>
    <definedName name="OSRRefD22_9x_0" localSheetId="43">'203'!$D$59</definedName>
    <definedName name="OSRRefD22_9x_0" localSheetId="44">'204'!$D$60:$D$61</definedName>
    <definedName name="OSRRefD22_9x_0" localSheetId="46">'206'!$D$56</definedName>
    <definedName name="OSRRefD22_9x_0" localSheetId="48">'300'!$D$138</definedName>
    <definedName name="OSRRefD22_9x_0" localSheetId="49">'300 &amp; 317'!$D$160</definedName>
    <definedName name="OSRRefD22_9x_0" localSheetId="50">'301'!$D$57</definedName>
    <definedName name="OSRRefD22_9x_0" localSheetId="52">'307'!$D$65:$D$66</definedName>
    <definedName name="OSRRefD22_9x_0" localSheetId="53">'308'!$D$87:$D$88</definedName>
    <definedName name="OSRRefD22_9x_0" localSheetId="63">'310'!$D$63</definedName>
    <definedName name="OSRRefD22_9x_0" localSheetId="71">'310 &amp; 491'!$D$68</definedName>
    <definedName name="OSRRefD22_9x_0" localSheetId="54">'311'!$D$86:$D$87</definedName>
    <definedName name="OSRRefD22_9x_0" localSheetId="65">'313'!$D$60:$D$61</definedName>
    <definedName name="OSRRefD22_9x_0" localSheetId="57">'315'!$D$105</definedName>
    <definedName name="OSRRefD22_9x_0" localSheetId="60">'316'!$D$66:$D$69</definedName>
    <definedName name="OSRRefD22_9x_0" localSheetId="62">'317'!$D$84</definedName>
    <definedName name="OSRRefD22_9x_0" localSheetId="66">'321'!$D$61</definedName>
    <definedName name="OSRRefD22_9x_0" localSheetId="67">'322'!$D$57:$D$60</definedName>
    <definedName name="OSRRefD22_9x_0" localSheetId="68">'325'!$D$56:$D$57</definedName>
    <definedName name="OSRRefD22_9x_0" localSheetId="58">'326'!$D$75</definedName>
    <definedName name="OSRRefD22_9x_0" localSheetId="51">'330'!$D$65:$D$66</definedName>
    <definedName name="OSRRefD22_9x_0" localSheetId="56">'331'!$D$105:$D$106</definedName>
    <definedName name="OSRRefD22_9x_0" localSheetId="59">'332'!$D$66:$D$69</definedName>
    <definedName name="OSRRefD22_9x_0" localSheetId="73">'405'!$D$59:$D$62</definedName>
    <definedName name="OSRRefD22_9x_0" localSheetId="75">'411'!$D$60:$D$66</definedName>
    <definedName name="OSRRefD22_9x_0" localSheetId="76">'412'!$D$58</definedName>
    <definedName name="OSRRefD22_9x_0" localSheetId="78">'413'!$D$60:$D$67</definedName>
    <definedName name="OSRRefD22_9x_0" localSheetId="79">'414'!$D$59</definedName>
    <definedName name="OSRRefD22_9x_0" localSheetId="80">'415'!$D$63</definedName>
    <definedName name="OSRRefD22_9x_0" localSheetId="81">'418'!$D$60:$D$61</definedName>
    <definedName name="OSRRefD22_9x_0" localSheetId="88">'433'!$D$63</definedName>
    <definedName name="OSRRefD22_9x_0" localSheetId="90">'444'!$D$63</definedName>
    <definedName name="OSRRefD22_9x_0" localSheetId="91">'450'!$D$58</definedName>
    <definedName name="OSRRefD22_9x_0" localSheetId="72">'491'!$D$65</definedName>
    <definedName name="OSRRefD22_9x_0" localSheetId="86">'492'!$D$63</definedName>
    <definedName name="OSRRefD22_9x_0" localSheetId="93">'501'!$D$58:$D$59</definedName>
    <definedName name="OSRRefD22_9x_0" localSheetId="39">'Div 2'!$D$59:$D$60</definedName>
    <definedName name="OSRRefD22_9x_0" localSheetId="47">'Div 3'!$D$142</definedName>
    <definedName name="OSRRefD22_9x_0" localSheetId="70">'Div 4'!$D$68</definedName>
    <definedName name="OSRRefD22_9x_0" localSheetId="92">'Div 5'!$D$58:$D$59</definedName>
    <definedName name="OSRRefD22_9x_0" localSheetId="61">'Div 6'!$D$84</definedName>
    <definedName name="OSRRefD22_9x_0" localSheetId="2">Summary!$D$169</definedName>
    <definedName name="OSRRefD22x_0" localSheetId="40">'200'!$D$20,'200'!$D$22,'200'!$D$24,'200'!$D$26:$D$27</definedName>
    <definedName name="OSRRefD22x_0" localSheetId="41">'201'!$D$21:$D$29,'201'!$D$31:$D$40,'201'!$D$42,'201'!$D$44,'201'!$D$46,'201'!$D$48,'201'!$D$50,'201'!$D$52,'201'!$D$54,'201'!$D$56,'201'!$D$58,'201'!$D$60:$D$62,'201'!$D$64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'203'!$D$20:$D$29,'203'!$D$31:$D$40,'203'!$D$42,'203'!$D$44,'203'!$D$46,'203'!$D$48,'203'!$D$50,'203'!$D$52:$D$53,'203'!$D$55:$D$57,'203'!$D$59,'203'!$D$61,'203'!$D$63:$D$65,'203'!$D$67,'203'!$D$69</definedName>
    <definedName name="OSRRefD22x_0" localSheetId="44">'204'!$D$20:$D$29,'204'!$D$31:$D$40,'204'!$D$42,'204'!$D$44:$D$45,'204'!$D$47,'204'!$D$49,'204'!$D$51:$D$53,'204'!$D$55:$D$56,'204'!$D$58,'204'!$D$60:$D$61,'204'!$D$63</definedName>
    <definedName name="OSRRefD22x_0" localSheetId="45">'205'!$D$20:$D$28,'205'!$D$30:$D$39,'205'!$D$41,'205'!$D$43:$D$44,'205'!$D$46,'205'!$D$48,'205'!$D$50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$99:$D$108,'300'!$D$110:$D$119,'300'!$D$121,'300'!$D$123:$D$124,'300'!$D$126,'300'!$D$128:$D$129,'300'!$D$131,'300'!$D$133:$D$134,'300'!$D$136,'300'!$D$138,'300'!$D$140:$D$141,'300'!$D$143:$D$145,'300'!$D$147,'300'!$D$149,'300'!$D$151,'300'!$D$153,'300'!$D$155:$D$158,'300'!$D$160:$D$163,'300'!$D$165:$D$168,'300'!$D$170:$D$171,'300'!$D$173:$D$181,'300'!$D$183:$D$184,'300'!$D$186,'300'!$D$188:$D$190,'300'!$D$192</definedName>
    <definedName name="OSRRefD22x_0" localSheetId="49">'300 &amp; 317'!$D$121:$D$130,'300 &amp; 317'!$D$132:$D$141,'300 &amp; 317'!$D$143,'300 &amp; 317'!$D$145:$D$146,'300 &amp; 317'!$D$148,'300 &amp; 317'!$D$150:$D$151,'300 &amp; 317'!$D$153,'300 &amp; 317'!$D$155:$D$156,'300 &amp; 317'!$D$158,'300 &amp; 317'!$D$160,'300 &amp; 317'!$D$162:$D$163,'300 &amp; 317'!$D$165:$D$167,'300 &amp; 317'!$D$169,'300 &amp; 317'!$D$171,'300 &amp; 317'!$D$173,'300 &amp; 317'!$D$175,'300 &amp; 317'!$D$177:$D$180,'300 &amp; 317'!$D$182:$D$185,'300 &amp; 317'!$D$187:$D$190,'300 &amp; 317'!$D$192:$D$193,'300 &amp; 317'!$D$195:$D$203,'300 &amp; 317'!$D$205:$D$206,'300 &amp; 317'!$D$208,'300 &amp; 317'!$D$210:$D$212,'300 &amp; 317'!$D$214</definedName>
    <definedName name="OSRRefD22x_0" localSheetId="50">'301'!$D$20:$D$28,'301'!$D$30:$D$39,'301'!$D$41:$D$42,'301'!$D$44,'301'!$D$46:$D$47,'301'!$D$49,'301'!$D$51,'301'!$D$53,'301'!$D$55,'301'!$D$57,'301'!$D$59,'301'!$D$61,'301'!$D$63,'301'!$D$65:$D$68,'301'!$D$70:$D$72,'301'!$D$74,'301'!$D$76:$D$81,'301'!$D$83,'301'!$D$85,'301'!$D$87,'301'!$D$89</definedName>
    <definedName name="OSRRefD22x_0" localSheetId="52">'307'!$D$31:$D$38,'307'!$D$40:$D$49,'307'!$D$51,'307'!$D$53,'307'!$D$55,'307'!$D$57,'307'!$D$59,'307'!$D$61,'307'!$D$63,'307'!$D$65:$D$66,'307'!$D$68:$D$69,'307'!$D$71:$D$74,'307'!$D$76:$D$77,'307'!$D$79</definedName>
    <definedName name="OSRRefD22x_0" localSheetId="53">'308'!$D$50:$D$59,'308'!$D$61:$D$70,'308'!$D$72,'308'!$D$74,'308'!$D$76,'308'!$D$78,'308'!$D$80,'308'!$D$82:$D$83,'308'!$D$85,'308'!$D$87:$D$88,'308'!$D$90,'308'!$D$92:$D$94,'308'!$D$96:$D$97,'308'!$D$99</definedName>
    <definedName name="OSRRefD22x_0" localSheetId="64">'309'!$D$21:$D$28,'309'!$D$30:$D$39,'309'!$D$41,'309'!$D$43,'309'!$D$45:$D$46,'309'!$D$48:$D$49,'309'!$D$51</definedName>
    <definedName name="OSRRefD22x_0" localSheetId="63">'310'!$D$27:$D$35,'310'!$D$37:$D$46,'310'!$D$48,'310'!$D$50,'310'!$D$52,'310'!$D$54:$D$55,'310'!$D$57,'310'!$D$59,'310'!$D$61,'310'!$D$63,'310'!$D$65,'310'!$D$67:$D$68,'310'!$D$70,'310'!$D$72:$D$75,'310'!$D$77,'310'!$D$79:$D$83,'310'!$D$85:$D$86,'310'!$D$88,'310'!$D$90</definedName>
    <definedName name="OSRRefD22x_0" localSheetId="71">'310 &amp; 491'!$D$31:$D$39,'310 &amp; 491'!$D$41:$D$50,'310 &amp; 491'!$D$52,'310 &amp; 491'!$D$54,'310 &amp; 491'!$D$56,'310 &amp; 491'!$D$58:$D$60,'310 &amp; 491'!$D$62,'310 &amp; 491'!$D$64,'310 &amp; 491'!$D$66,'310 &amp; 491'!$D$68,'310 &amp; 491'!$D$70,'310 &amp; 491'!$D$72,'310 &amp; 491'!$D$74,'310 &amp; 491'!$D$76:$D$78,'310 &amp; 491'!$D$80:$D$81,'310 &amp; 491'!$D$83:$D$87,'310 &amp; 491'!$D$89,'310 &amp; 491'!$D$91:$D$101,'310 &amp; 491'!$D$103:$D$104,'310 &amp; 491'!$D$106,'310 &amp; 491'!$D$108:$D$109,'310 &amp; 491'!$D$111</definedName>
    <definedName name="OSRRefD22x_0" localSheetId="54">'311'!$D$49:$D$58,'311'!$D$60:$D$69,'311'!$D$71,'311'!$D$73,'311'!$D$75,'311'!$D$77,'311'!$D$79,'311'!$D$81:$D$82,'311'!$D$84,'311'!$D$86:$D$87,'311'!$D$89,'311'!$D$91:$D$93,'311'!$D$95:$D$96,'311'!$D$98</definedName>
    <definedName name="OSRRefD22x_0" localSheetId="65">'313'!$D$23:$D$31,'313'!$D$33:$D$42,'313'!$D$44,'313'!$D$46,'313'!$D$48,'313'!$D$50,'313'!$D$52,'313'!$D$54,'313'!$D$56:$D$58,'313'!$D$60:$D$61,'313'!$D$63</definedName>
    <definedName name="OSRRefD22x_0" localSheetId="57">'315'!$D$69:$D$77,'315'!$D$79:$D$88,'315'!$D$90,'315'!$D$92,'315'!$D$94,'315'!$D$96,'315'!$D$98,'315'!$D$100:$D$101,'315'!$D$103,'315'!$D$105,'315'!$D$107,'315'!$D$109,'315'!$D$111:$D$113,'315'!$D$115,'315'!$D$117:$D$123,'315'!$D$125,'315'!$D$127:$D$128</definedName>
    <definedName name="OSRRefD22x_0" localSheetId="60">'316'!$D$30:$D$38,'316'!$D$40:$D$49,'316'!$D$51,'316'!$D$53,'316'!$D$55,'316'!$D$57,'316'!$D$59:$D$60,'316'!$D$62,'316'!$D$64,'316'!$D$66:$D$69,'316'!$D$71,'316'!$D$73</definedName>
    <definedName name="OSRRefD22x_0" localSheetId="62">'317'!$D$47:$D$56,'317'!$D$58:$D$67,'317'!$D$69,'317'!$D$71,'317'!$D$73,'317'!$D$75,'317'!$D$77:$D$78,'317'!$D$80,'317'!$D$82,'317'!$D$84,'317'!$D$86:$D$88,'317'!$D$90</definedName>
    <definedName name="OSRRefD22x_0" localSheetId="66">'321'!$D$25:$D$33,'321'!$D$35:$D$44,'321'!$D$46,'321'!$D$48,'321'!$D$50,'321'!$D$52,'321'!$D$54,'321'!$D$56:$D$57,'321'!$D$59,'321'!$D$61,'321'!$D$63:$D$65,'321'!$D$67:$D$68,'321'!$D$70,'321'!$D$72</definedName>
    <definedName name="OSRRefD22x_0" localSheetId="67">'322'!$D$21:$D$28,'322'!$D$30:$D$39,'322'!$D$41,'322'!$D$43,'322'!$D$45,'322'!$D$47,'322'!$D$49,'322'!$D$51:$D$52,'322'!$D$54:$D$55,'322'!$D$57:$D$60,'322'!$D$62,'322'!$D$64</definedName>
    <definedName name="OSRRefD22x_0" localSheetId="55">'324'!$D$27:$D$34,'324'!$D$36:$D$45</definedName>
    <definedName name="OSRRefD22x_0" localSheetId="68">'325'!$D$21:$D$28,'325'!$D$30:$D$39,'325'!$D$41,'325'!$D$43,'325'!$D$45,'325'!$D$47:$D$48,'325'!$D$50,'325'!$D$52,'325'!$D$54,'325'!$D$56:$D$57,'325'!$D$59:$D$61,'325'!$D$63,'325'!$D$65:$D$67,'325'!$D$69:$D$70,'325'!$D$72</definedName>
    <definedName name="OSRRefD22x_0" localSheetId="58">'326'!$D$39:$D$47,'326'!$D$49:$D$58,'326'!$D$60,'326'!$D$62,'326'!$D$64,'326'!$D$66,'326'!$D$68,'326'!$D$70,'326'!$D$72:$D$73,'326'!$D$75,'326'!$D$77,'326'!$D$79,'326'!$D$81,'326'!$D$83,'326'!$D$85:$D$87,'326'!$D$89:$D$90,'326'!$D$92:$D$97,'326'!$D$99:$D$100,'326'!$D$102,'326'!$D$104:$D$105,'326'!$D$107</definedName>
    <definedName name="OSRRefD22x_0" localSheetId="69">'327'!$D$24</definedName>
    <definedName name="OSRRefD22x_0" localSheetId="51">'330'!$D$31:$D$38,'330'!$D$40:$D$49,'330'!$D$51,'330'!$D$53,'330'!$D$55,'330'!$D$57,'330'!$D$59,'330'!$D$61,'330'!$D$63,'330'!$D$65:$D$66,'330'!$D$68:$D$69,'330'!$D$71:$D$74,'330'!$D$76:$D$77,'330'!$D$79</definedName>
    <definedName name="OSRRefD22x_0" localSheetId="56">'331'!$D$69:$D$77,'331'!$D$79:$D$88,'331'!$D$90,'331'!$D$92,'331'!$D$94,'331'!$D$96,'331'!$D$98,'331'!$D$100,'331'!$D$102:$D$103,'331'!$D$105:$D$106,'331'!$D$108,'331'!$D$110,'331'!$D$112,'331'!$D$114,'331'!$D$116,'331'!$D$118:$D$120,'331'!$D$122:$D$124,'331'!$D$126:$D$127,'331'!$D$129:$D$136,'331'!$D$138:$D$139,'331'!$D$141,'331'!$D$143:$D$144,'331'!$D$146</definedName>
    <definedName name="OSRRefD22x_0" localSheetId="59">'332'!$D$30:$D$38,'332'!$D$40:$D$49,'332'!$D$51,'332'!$D$53,'332'!$D$55,'332'!$D$57,'332'!$D$59:$D$60,'332'!$D$62,'332'!$D$64,'332'!$D$66:$D$69,'332'!$D$71,'332'!$D$73</definedName>
    <definedName name="OSRRefD22x_0" localSheetId="73">'405'!$D$23:$D$30,'405'!$D$32:$D$41,'405'!$D$43,'405'!$D$45,'405'!$D$47:$D$48,'405'!$D$50,'405'!$D$52,'405'!$D$54,'405'!$D$56:$D$57,'405'!$D$59:$D$62,'405'!$D$64,'405'!$D$66:$D$74,'405'!$D$76,'405'!$D$78,'405'!$D$80</definedName>
    <definedName name="OSRRefD22x_0" localSheetId="74">'406'!$D$20,'406'!$D$22,'406'!$D$24,'406'!$D$26,'406'!$D$28</definedName>
    <definedName name="OSRRefD22x_0" localSheetId="75">'411'!$D$20:$D$28,'411'!$D$30:$D$39,'411'!$D$41,'411'!$D$43,'411'!$D$45:$D$46,'411'!$D$48,'411'!$D$50,'411'!$D$52:$D$53,'411'!$D$55:$D$58,'411'!$D$60:$D$66,'411'!$D$68,'411'!$D$70,'411'!$D$72</definedName>
    <definedName name="OSRRefD22x_0" localSheetId="76">'412'!$D$22:$D$29,'412'!$D$31:$D$40,'412'!$D$42,'412'!$D$44,'412'!$D$46:$D$47,'412'!$D$49,'412'!$D$51,'412'!$D$53,'412'!$D$55:$D$56,'412'!$D$58,'412'!$D$60:$D$63,'412'!$D$65:$D$69,'412'!$D$71:$D$72,'412'!$D$74</definedName>
    <definedName name="OSRRefD22x_0" localSheetId="78">'413'!$D$23:$D$31,'413'!$D$33:$D$42,'413'!$D$44,'413'!$D$46,'413'!$D$48,'413'!$D$50,'413'!$D$52,'413'!$D$54:$D$55,'413'!$D$57:$D$58,'413'!$D$60:$D$67,'413'!$D$69:$D$70</definedName>
    <definedName name="OSRRefD22x_0" localSheetId="79">'414'!$D$24:$D$32,'414'!$D$34:$D$43,'414'!$D$45,'414'!$D$47,'414'!$D$49,'414'!$D$51,'414'!$D$53,'414'!$D$55,'414'!$D$57,'414'!$D$59,'414'!$D$61,'414'!$D$63:$D$65,'414'!$D$67,'414'!$D$69,'414'!$D$71</definedName>
    <definedName name="OSRRefD22x_0" localSheetId="80">'415'!$D$27:$D$35,'415'!$D$37:$D$46,'415'!$D$48,'415'!$D$50,'415'!$D$52,'415'!$D$54:$D$55,'415'!$D$57,'415'!$D$59,'415'!$D$61,'415'!$D$63,'415'!$D$65:$D$66,'415'!$D$68:$D$72,'415'!$D$74,'415'!$D$76:$D$82,'415'!$D$84:$D$85,'415'!$D$87</definedName>
    <definedName name="OSRRefD22x_0" localSheetId="81">'418'!$D$23:$D$30,'418'!$D$32:$D$41,'418'!$D$43,'418'!$D$45,'418'!$D$47:$D$48,'418'!$D$50,'418'!$D$52,'418'!$D$54,'418'!$D$56:$D$58,'418'!$D$60:$D$61,'418'!$D$63,'418'!$D$65:$D$74,'418'!$D$76:$D$77,'418'!$D$79</definedName>
    <definedName name="OSRRefD22x_0" localSheetId="82">'423'!$D$20:$D$27,'423'!$D$29:$D$38,'423'!$D$40,'423'!$D$42:$D$43,'423'!$D$45,'423'!$D$47,'423'!$D$49</definedName>
    <definedName name="OSRRefD22x_0" localSheetId="83">'424'!$D$20,'424'!$D$22,'424'!$D$24,'424'!$D$26</definedName>
    <definedName name="OSRRefD22x_0" localSheetId="84">'425'!$D$20:$D$24,'425'!$D$26,'425'!$D$28,'425'!$D$30,'425'!$D$32</definedName>
    <definedName name="OSRRefD22x_0" localSheetId="87">'430'!$D$20:$D$28,'430'!$D$30:$D$39,'430'!$D$41:$D$43,'430'!$D$45:$D$46,'430'!$D$48,'430'!$D$50</definedName>
    <definedName name="OSRRefD22x_0" localSheetId="88">'433'!$D$27:$D$36,'433'!$D$38:$D$47,'433'!$D$49,'433'!$D$51,'433'!$D$53,'433'!$D$55,'433'!$D$57,'433'!$D$59,'433'!$D$61,'433'!$D$63,'433'!$D$65,'433'!$D$67:$D$68,'433'!$D$70:$D$73,'433'!$D$75:$D$82,'433'!$D$84</definedName>
    <definedName name="OSRRefD22x_0" localSheetId="89">'435'!$D$20</definedName>
    <definedName name="OSRRefD22x_0" localSheetId="90">'444'!$D$27:$D$36,'444'!$D$38:$D$47,'444'!$D$49,'444'!$D$51,'444'!$D$53,'444'!$D$55,'444'!$D$57,'444'!$D$59,'444'!$D$61,'444'!$D$63,'444'!$D$65,'444'!$D$67:$D$69,'444'!$D$71:$D$73,'444'!$D$75:$D$83,'444'!$D$85:$D$86,'444'!$D$88</definedName>
    <definedName name="OSRRefD22x_0" localSheetId="91">'450'!$D$22:$D$31,'450'!$D$33:$D$42,'450'!$D$44,'450'!$D$46,'450'!$D$48,'450'!$D$50,'450'!$D$52,'450'!$D$54,'450'!$D$56,'450'!$D$58,'450'!$D$60,'450'!$D$62,'450'!$D$64,'450'!$D$66:$D$68,'450'!$D$70:$D$75,'450'!$D$77:$D$78,'450'!$D$80</definedName>
    <definedName name="OSRRefD22x_0" localSheetId="72">'491'!$D$28:$D$36,'491'!$D$38:$D$47,'491'!$D$49,'491'!$D$51,'491'!$D$53,'491'!$D$55:$D$57,'491'!$D$59,'491'!$D$61,'491'!$D$63,'491'!$D$65,'491'!$D$67,'491'!$D$69,'491'!$D$71:$D$73,'491'!$D$75:$D$76,'491'!$D$78:$D$82,'491'!$D$84,'491'!$D$86:$D$96,'491'!$D$98:$D$99,'491'!$D$101,'491'!$D$103:$D$104,'491'!$D$106</definedName>
    <definedName name="OSRRefD22x_0" localSheetId="86">'492'!$D$27:$D$36,'492'!$D$38:$D$47,'492'!$D$49,'492'!$D$51,'492'!$D$53,'492'!$D$55,'492'!$D$57,'492'!$D$59,'492'!$D$61,'492'!$D$63,'492'!$D$65,'492'!$D$67,'492'!$D$69:$D$71,'492'!$D$73:$D$76,'492'!$D$78:$D$87,'492'!$D$89:$D$90,'492'!$D$92,'492'!$D$94</definedName>
    <definedName name="OSRRefD22x_0" localSheetId="93">'501'!$D$21:$D$30,'501'!$D$32:$D$41,'501'!$D$43,'501'!$D$45,'501'!$D$47,'501'!$D$49:$D$50,'501'!$D$52,'501'!$D$54,'501'!$D$56,'501'!$D$58:$D$59,'501'!$D$61:$D$62,'501'!$D$64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7">'Div 3'!$D$103:$D$112,'Div 3'!$D$114:$D$123,'Div 3'!$D$125,'Div 3'!$D$127:$D$128,'Div 3'!$D$130,'Div 3'!$D$132:$D$133,'Div 3'!$D$135,'Div 3'!$D$137:$D$138,'Div 3'!$D$140,'Div 3'!$D$142,'Div 3'!$D$144:$D$145,'Div 3'!$D$147:$D$149,'Div 3'!$D$151,'Div 3'!$D$153,'Div 3'!$D$155,'Div 3'!$D$157,'Div 3'!$D$159,'Div 3'!$D$161:$D$164,'Div 3'!$D$166:$D$169,'Div 3'!$D$171:$D$175,'Div 3'!$D$177:$D$178,'Div 3'!$D$180:$D$188,'Div 3'!$D$190:$D$191,'Div 3'!$D$193,'Div 3'!$D$195:$D$197,'Div 3'!$D$199</definedName>
    <definedName name="OSRRefD22x_0" localSheetId="70">'Div 4'!$D$30:$D$39,'Div 4'!$D$41:$D$50,'Div 4'!$D$52,'Div 4'!$D$54,'Div 4'!$D$56,'Div 4'!$D$58:$D$60,'Div 4'!$D$62,'Div 4'!$D$64,'Div 4'!$D$66,'Div 4'!$D$68,'Div 4'!$D$70,'Div 4'!$D$72,'Div 4'!$D$74,'Div 4'!$D$76,'Div 4'!$D$78:$D$80,'Div 4'!$D$82:$D$83,'Div 4'!$D$85:$D$89,'Div 4'!$D$91,'Div 4'!$D$93:$D$103,'Div 4'!$D$105:$D$106,'Div 4'!$D$108,'Div 4'!$D$110:$D$111,'Div 4'!$D$113</definedName>
    <definedName name="OSRRefD22x_0" localSheetId="92">'Div 5'!$D$21:$D$30,'Div 5'!$D$32:$D$41,'Div 5'!$D$43,'Div 5'!$D$45,'Div 5'!$D$47,'Div 5'!$D$49:$D$50,'Div 5'!$D$52,'Div 5'!$D$54,'Div 5'!$D$56,'Div 5'!$D$58:$D$59,'Div 5'!$D$61:$D$62,'Div 5'!$D$64</definedName>
    <definedName name="OSRRefD22x_0" localSheetId="61">'Div 6'!$D$47:$D$56,'Div 6'!$D$58:$D$67,'Div 6'!$D$69,'Div 6'!$D$71,'Div 6'!$D$73,'Div 6'!$D$75,'Div 6'!$D$77:$D$78,'Div 6'!$D$80,'Div 6'!$D$82,'Div 6'!$D$84,'Div 6'!$D$86:$D$88,'Div 6'!$D$90</definedName>
    <definedName name="OSRRefD22x_0" localSheetId="2">Summary!$D$129:$D$138,Summary!$D$140:$D$149,Summary!$D$151,Summary!$D$153:$D$154,Summary!$D$156,Summary!$D$158:$D$160,Summary!$D$162,Summary!$D$164:$D$165,Summary!$D$167,Summary!$D$169,Summary!$D$171:$D$172,Summary!$D$174:$D$176,Summary!$D$178,Summary!$D$180,Summary!$D$182,Summary!$D$184,Summary!$D$186,Summary!$D$188,Summary!$D$190:$D$193,Summary!$D$195:$D$198,Summary!$D$200:$D$204,Summary!$D$206:$D$207,Summary!$D$209:$D$219,Summary!$D$221:$D$222,Summary!$D$224,Summary!$D$226:$D$228,Summary!$D$230</definedName>
    <definedName name="OSRRefD25x_0" localSheetId="42">'202'!$D$69:$D$71</definedName>
    <definedName name="OSRRefD25x_0" localSheetId="48">'300'!$D$195:$D$198</definedName>
    <definedName name="OSRRefD25x_0" localSheetId="49">'300 &amp; 317'!$D$217:$D$221</definedName>
    <definedName name="OSRRefD25x_0" localSheetId="50">'301'!$D$92:$D$93</definedName>
    <definedName name="OSRRefD25x_0" localSheetId="53">'308'!$D$102:$D$104</definedName>
    <definedName name="OSRRefD25x_0" localSheetId="71">'310 &amp; 491'!$D$114:$D$116</definedName>
    <definedName name="OSRRefD25x_0" localSheetId="54">'311'!$D$101:$D$103</definedName>
    <definedName name="OSRRefD25x_0" localSheetId="57">'315'!$D$131:$D$133</definedName>
    <definedName name="OSRRefD25x_0" localSheetId="60">'316'!$D$76</definedName>
    <definedName name="OSRRefD25x_0" localSheetId="62">'317'!$D$93:$D$94</definedName>
    <definedName name="OSRRefD25x_0" localSheetId="56">'331'!$D$149:$D$151</definedName>
    <definedName name="OSRRefD25x_0" localSheetId="59">'332'!$D$76</definedName>
    <definedName name="OSRRefD25x_0" localSheetId="75">'411'!$D$75:$D$76</definedName>
    <definedName name="OSRRefD25x_0" localSheetId="81">'418'!$D$82</definedName>
    <definedName name="OSRRefD25x_0" localSheetId="82">'423'!$D$52</definedName>
    <definedName name="OSRRefD25x_0" localSheetId="85">'455'!$D$21:$D$22</definedName>
    <definedName name="OSRRefD25x_0" localSheetId="72">'491'!$D$109:$D$111</definedName>
    <definedName name="OSRRefD25x_0" localSheetId="93">'501'!$D$67</definedName>
    <definedName name="OSRRefD25x_0" localSheetId="39">'Div 2'!$D$98:$D$100</definedName>
    <definedName name="OSRRefD25x_0" localSheetId="47">'Div 3'!$D$202:$D$205</definedName>
    <definedName name="OSRRefD25x_0" localSheetId="70">'Div 4'!$D$116:$D$118</definedName>
    <definedName name="OSRRefD25x_0" localSheetId="92">'Div 5'!$D$67</definedName>
    <definedName name="OSRRefD25x_0" localSheetId="61">'Div 6'!$D$93:$D$94</definedName>
    <definedName name="OSRRefD25x_0" localSheetId="2">Summary!$D$233:$D$239</definedName>
    <definedName name="OSRRefH13x_0" localSheetId="41">'201'!$H$13</definedName>
    <definedName name="OSRRefH13x_0" localSheetId="42">'202'!$H$13</definedName>
    <definedName name="OSRRefH13x_0" localSheetId="48">'300'!$H$13:$H$69</definedName>
    <definedName name="OSRRefH13x_0" localSheetId="49">'300 &amp; 317'!$H$13:$H$84</definedName>
    <definedName name="OSRRefH13x_0" localSheetId="52">'307'!$H$13:$H$20</definedName>
    <definedName name="OSRRefH13x_0" localSheetId="53">'308'!$H$13:$H$31</definedName>
    <definedName name="OSRRefH13x_0" localSheetId="64">'309'!$H$13</definedName>
    <definedName name="OSRRefH13x_0" localSheetId="63">'310'!$H$13:$H$16</definedName>
    <definedName name="OSRRefH13x_0" localSheetId="71">'310 &amp; 491'!$H$13:$H$20</definedName>
    <definedName name="OSRRefH13x_0" localSheetId="54">'311'!$H$13:$H$30</definedName>
    <definedName name="OSRRefH13x_0" localSheetId="65">'313'!$H$13</definedName>
    <definedName name="OSRRefH13x_0" localSheetId="57">'315'!$H$13:$H$48</definedName>
    <definedName name="OSRRefH13x_0" localSheetId="60">'316'!$H$13:$H$22</definedName>
    <definedName name="OSRRefH13x_0" localSheetId="62">'317'!$H$13:$H$29</definedName>
    <definedName name="OSRRefH13x_0" localSheetId="66">'321'!$H$13:$H$15</definedName>
    <definedName name="OSRRefH13x_0" localSheetId="55">'324'!$H$13:$H$16</definedName>
    <definedName name="OSRRefH13x_0" localSheetId="58">'326'!$H$13:$H$29</definedName>
    <definedName name="OSRRefH13x_0" localSheetId="69">'327'!$H$13:$H$14</definedName>
    <definedName name="OSRRefH13x_0" localSheetId="51">'330'!$H$13:$H$20</definedName>
    <definedName name="OSRRefH13x_0" localSheetId="56">'331'!$H$13:$H$48</definedName>
    <definedName name="OSRRefH13x_0" localSheetId="59">'332'!$H$13:$H$22</definedName>
    <definedName name="OSRRefH13x_0" localSheetId="73">'405'!$H$13:$H$14</definedName>
    <definedName name="OSRRefH13x_0" localSheetId="76">'412'!$H$13</definedName>
    <definedName name="OSRRefH13x_0" localSheetId="78">'413'!$H$13:$H$14</definedName>
    <definedName name="OSRRefH13x_0" localSheetId="79">'414'!$H$13:$H$15</definedName>
    <definedName name="OSRRefH13x_0" localSheetId="80">'415'!$H$13:$H$16</definedName>
    <definedName name="OSRRefH13x_0" localSheetId="81">'418'!$H$13:$H$14</definedName>
    <definedName name="OSRRefH13x_0" localSheetId="88">'433'!$H$13:$H$16</definedName>
    <definedName name="OSRRefH13x_0" localSheetId="90">'444'!$H$13:$H$16</definedName>
    <definedName name="OSRRefH13x_0" localSheetId="91">'450'!$H$13</definedName>
    <definedName name="OSRRefH13x_0" localSheetId="72">'491'!$H$13:$H$17</definedName>
    <definedName name="OSRRefH13x_0" localSheetId="86">'492'!$H$13:$H$16</definedName>
    <definedName name="OSRRefH13x_0" localSheetId="93">'501'!$H$13</definedName>
    <definedName name="OSRRefH13x_0" localSheetId="39">'Div 2'!$H$13</definedName>
    <definedName name="OSRRefH13x_0" localSheetId="47">'Div 3'!$H$13:$H$71</definedName>
    <definedName name="OSRRefH13x_0" localSheetId="70">'Div 4'!$H$13:$H$19</definedName>
    <definedName name="OSRRefH13x_0" localSheetId="92">'Div 5'!$H$13</definedName>
    <definedName name="OSRRefH13x_0" localSheetId="61">'Div 6'!$H$13:$H$29</definedName>
    <definedName name="OSRRefH13x_0" localSheetId="2">Summary!$H$13:$H$90</definedName>
    <definedName name="OSRRefH16x_0" localSheetId="48">'300'!$H$72:$H$93</definedName>
    <definedName name="OSRRefH16x_0" localSheetId="49">'300 &amp; 317'!$H$87:$H$115</definedName>
    <definedName name="OSRRefH16x_0" localSheetId="52">'307'!$H$23:$H$25</definedName>
    <definedName name="OSRRefH16x_0" localSheetId="53">'308'!$H$34:$H$44</definedName>
    <definedName name="OSRRefH16x_0" localSheetId="63">'310'!$H$19:$H$21</definedName>
    <definedName name="OSRRefH16x_0" localSheetId="71">'310 &amp; 491'!$H$23:$H$25</definedName>
    <definedName name="OSRRefH16x_0" localSheetId="54">'311'!$H$33:$H$43</definedName>
    <definedName name="OSRRefH16x_0" localSheetId="65">'313'!$H$16:$H$17</definedName>
    <definedName name="OSRRefH16x_0" localSheetId="57">'315'!$H$51:$H$63</definedName>
    <definedName name="OSRRefH16x_0" localSheetId="62">'317'!$H$32:$H$41</definedName>
    <definedName name="OSRRefH16x_0" localSheetId="66">'321'!$H$18:$H$19</definedName>
    <definedName name="OSRRefH16x_0" localSheetId="67">'322'!$H$15</definedName>
    <definedName name="OSRRefH16x_0" localSheetId="55">'324'!$H$19:$H$21</definedName>
    <definedName name="OSRRefH16x_0" localSheetId="68">'325'!$H$15</definedName>
    <definedName name="OSRRefH16x_0" localSheetId="58">'326'!$H$32:$H$33</definedName>
    <definedName name="OSRRefH16x_0" localSheetId="69">'327'!$H$17:$H$18</definedName>
    <definedName name="OSRRefH16x_0" localSheetId="51">'330'!$H$23:$H$25</definedName>
    <definedName name="OSRRefH16x_0" localSheetId="56">'331'!$H$51:$H$63</definedName>
    <definedName name="OSRRefH16x_0" localSheetId="73">'405'!$H$17</definedName>
    <definedName name="OSRRefH16x_0" localSheetId="76">'412'!$H$16</definedName>
    <definedName name="OSRRefH16x_0" localSheetId="78">'413'!$H$17</definedName>
    <definedName name="OSRRefH16x_0" localSheetId="79">'414'!$H$18</definedName>
    <definedName name="OSRRefH16x_0" localSheetId="80">'415'!$H$19:$H$21</definedName>
    <definedName name="OSRRefH16x_0" localSheetId="81">'418'!$H$17</definedName>
    <definedName name="OSRRefH16x_0" localSheetId="88">'433'!$H$19:$H$21</definedName>
    <definedName name="OSRRefH16x_0" localSheetId="90">'444'!$H$19:$H$21</definedName>
    <definedName name="OSRRefH16x_0" localSheetId="91">'450'!$H$16</definedName>
    <definedName name="OSRRefH16x_0" localSheetId="72">'491'!$H$20:$H$22</definedName>
    <definedName name="OSRRefH16x_0" localSheetId="86">'492'!$H$19:$H$21</definedName>
    <definedName name="OSRRefH16x_0" localSheetId="47">'Div 3'!$H$74:$H$97</definedName>
    <definedName name="OSRRefH16x_0" localSheetId="70">'Div 4'!$H$22:$H$24</definedName>
    <definedName name="OSRRefH16x_0" localSheetId="61">'Div 6'!$H$32:$H$41</definedName>
    <definedName name="OSRRefH16x_0" localSheetId="2">Summary!$H$93:$H$123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'300'!$H$99:$H$108</definedName>
    <definedName name="OSRRefH22_0x_0" localSheetId="49">'300 &amp; 317'!$H$121:$H$130</definedName>
    <definedName name="OSRRefH22_0x_0" localSheetId="50">'301'!$H$20:$H$28</definedName>
    <definedName name="OSRRefH22_0x_0" localSheetId="52">'307'!$H$31:$H$38</definedName>
    <definedName name="OSRRefH22_0x_0" localSheetId="53">'308'!$H$50:$H$59</definedName>
    <definedName name="OSRRefH22_0x_0" localSheetId="64">'309'!$H$21:$H$28</definedName>
    <definedName name="OSRRefH22_0x_0" localSheetId="63">'310'!$H$27:$H$35</definedName>
    <definedName name="OSRRefH22_0x_0" localSheetId="71">'310 &amp; 491'!$H$31:$H$39</definedName>
    <definedName name="OSRRefH22_0x_0" localSheetId="54">'311'!$H$49:$H$58</definedName>
    <definedName name="OSRRefH22_0x_0" localSheetId="65">'313'!$H$23:$H$31</definedName>
    <definedName name="OSRRefH22_0x_0" localSheetId="57">'315'!$H$69:$H$77</definedName>
    <definedName name="OSRRefH22_0x_0" localSheetId="60">'316'!$H$30:$H$38</definedName>
    <definedName name="OSRRefH22_0x_0" localSheetId="62">'317'!$H$47:$H$56</definedName>
    <definedName name="OSRRefH22_0x_0" localSheetId="66">'321'!$H$25:$H$33</definedName>
    <definedName name="OSRRefH22_0x_0" localSheetId="67">'322'!$H$21:$H$28</definedName>
    <definedName name="OSRRefH22_0x_0" localSheetId="55">'324'!$H$27:$H$34</definedName>
    <definedName name="OSRRefH22_0x_0" localSheetId="68">'325'!$H$21:$H$28</definedName>
    <definedName name="OSRRefH22_0x_0" localSheetId="58">'326'!$H$39:$H$47</definedName>
    <definedName name="OSRRefH22_0x_0" localSheetId="69">'327'!$H$24</definedName>
    <definedName name="OSRRefH22_0x_0" localSheetId="51">'330'!$H$31:$H$38</definedName>
    <definedName name="OSRRefH22_0x_0" localSheetId="56">'331'!$H$69:$H$77</definedName>
    <definedName name="OSRRefH22_0x_0" localSheetId="59">'332'!$H$30:$H$38</definedName>
    <definedName name="OSRRefH22_0x_0" localSheetId="73">'405'!$H$23:$H$30</definedName>
    <definedName name="OSRRefH22_0x_0" localSheetId="74">'406'!$H$20</definedName>
    <definedName name="OSRRefH22_0x_0" localSheetId="75">'411'!$H$20:$H$28</definedName>
    <definedName name="OSRRefH22_0x_0" localSheetId="76">'412'!$H$22:$H$29</definedName>
    <definedName name="OSRRefH22_0x_0" localSheetId="78">'413'!$H$23:$H$31</definedName>
    <definedName name="OSRRefH22_0x_0" localSheetId="79">'414'!$H$24:$H$32</definedName>
    <definedName name="OSRRefH22_0x_0" localSheetId="80">'415'!$H$27:$H$35</definedName>
    <definedName name="OSRRefH22_0x_0" localSheetId="81">'418'!$H$23:$H$30</definedName>
    <definedName name="OSRRefH22_0x_0" localSheetId="82">'423'!$H$20:$H$27</definedName>
    <definedName name="OSRRefH22_0x_0" localSheetId="83">'424'!$H$20</definedName>
    <definedName name="OSRRefH22_0x_0" localSheetId="84">'425'!$H$20:$H$24</definedName>
    <definedName name="OSRRefH22_0x_0" localSheetId="87">'430'!$H$20:$H$28</definedName>
    <definedName name="OSRRefH22_0x_0" localSheetId="88">'433'!$H$27:$H$36</definedName>
    <definedName name="OSRRefH22_0x_0" localSheetId="89">'435'!$H$20</definedName>
    <definedName name="OSRRefH22_0x_0" localSheetId="90">'444'!$H$27:$H$36</definedName>
    <definedName name="OSRRefH22_0x_0" localSheetId="91">'450'!$H$22:$H$31</definedName>
    <definedName name="OSRRefH22_0x_0" localSheetId="72">'491'!$H$28:$H$36</definedName>
    <definedName name="OSRRefH22_0x_0" localSheetId="86">'492'!$H$27:$H$36</definedName>
    <definedName name="OSRRefH22_0x_0" localSheetId="93">'501'!$H$21:$H$30</definedName>
    <definedName name="OSRRefH22_0x_0" localSheetId="39">'Div 2'!$H$21:$H$31</definedName>
    <definedName name="OSRRefH22_0x_0" localSheetId="47">'Div 3'!$H$103:$H$112</definedName>
    <definedName name="OSRRefH22_0x_0" localSheetId="70">'Div 4'!$H$30:$H$39</definedName>
    <definedName name="OSRRefH22_0x_0" localSheetId="92">'Div 5'!$H$21:$H$30</definedName>
    <definedName name="OSRRefH22_0x_0" localSheetId="61">'Div 6'!$H$47:$H$56</definedName>
    <definedName name="OSRRefH22_0x_0" localSheetId="2">Summary!$H$129:$H$138</definedName>
    <definedName name="OSRRefH22_10x_0" localSheetId="41">'201'!$H$58</definedName>
    <definedName name="OSRRefH22_10x_0" localSheetId="42">'202'!$H$62</definedName>
    <definedName name="OSRRefH22_10x_0" localSheetId="43">'203'!$H$61</definedName>
    <definedName name="OSRRefH22_10x_0" localSheetId="44">'204'!$H$63</definedName>
    <definedName name="OSRRefH22_10x_0" localSheetId="48">'300'!$H$140:$H$141</definedName>
    <definedName name="OSRRefH22_10x_0" localSheetId="49">'300 &amp; 317'!$H$162:$H$163</definedName>
    <definedName name="OSRRefH22_10x_0" localSheetId="50">'301'!$H$59</definedName>
    <definedName name="OSRRefH22_10x_0" localSheetId="52">'307'!$H$68:$H$69</definedName>
    <definedName name="OSRRefH22_10x_0" localSheetId="53">'308'!$H$90</definedName>
    <definedName name="OSRRefH22_10x_0" localSheetId="63">'310'!$H$65</definedName>
    <definedName name="OSRRefH22_10x_0" localSheetId="71">'310 &amp; 491'!$H$70</definedName>
    <definedName name="OSRRefH22_10x_0" localSheetId="54">'311'!$H$89</definedName>
    <definedName name="OSRRefH22_10x_0" localSheetId="65">'313'!$H$63</definedName>
    <definedName name="OSRRefH22_10x_0" localSheetId="57">'315'!$H$107</definedName>
    <definedName name="OSRRefH22_10x_0" localSheetId="60">'316'!$H$71</definedName>
    <definedName name="OSRRefH22_10x_0" localSheetId="62">'317'!$H$86:$H$88</definedName>
    <definedName name="OSRRefH22_10x_0" localSheetId="66">'321'!$H$63:$H$65</definedName>
    <definedName name="OSRRefH22_10x_0" localSheetId="67">'322'!$H$62</definedName>
    <definedName name="OSRRefH22_10x_0" localSheetId="68">'325'!$H$59:$H$61</definedName>
    <definedName name="OSRRefH22_10x_0" localSheetId="58">'326'!$H$77</definedName>
    <definedName name="OSRRefH22_10x_0" localSheetId="51">'330'!$H$68:$H$69</definedName>
    <definedName name="OSRRefH22_10x_0" localSheetId="56">'331'!$H$108</definedName>
    <definedName name="OSRRefH22_10x_0" localSheetId="59">'332'!$H$71</definedName>
    <definedName name="OSRRefH22_10x_0" localSheetId="73">'405'!$H$64</definedName>
    <definedName name="OSRRefH22_10x_0" localSheetId="75">'411'!$H$68</definedName>
    <definedName name="OSRRefH22_10x_0" localSheetId="76">'412'!$H$60:$H$63</definedName>
    <definedName name="OSRRefH22_10x_0" localSheetId="78">'413'!$H$69:$H$70</definedName>
    <definedName name="OSRRefH22_10x_0" localSheetId="79">'414'!$H$61</definedName>
    <definedName name="OSRRefH22_10x_0" localSheetId="80">'415'!$H$65:$H$66</definedName>
    <definedName name="OSRRefH22_10x_0" localSheetId="81">'418'!$H$63</definedName>
    <definedName name="OSRRefH22_10x_0" localSheetId="88">'433'!$H$65</definedName>
    <definedName name="OSRRefH22_10x_0" localSheetId="90">'444'!$H$65</definedName>
    <definedName name="OSRRefH22_10x_0" localSheetId="91">'450'!$H$60</definedName>
    <definedName name="OSRRefH22_10x_0" localSheetId="72">'491'!$H$67</definedName>
    <definedName name="OSRRefH22_10x_0" localSheetId="86">'492'!$H$65</definedName>
    <definedName name="OSRRefH22_10x_0" localSheetId="93">'501'!$H$61:$H$62</definedName>
    <definedName name="OSRRefH22_10x_0" localSheetId="39">'Div 2'!$H$62</definedName>
    <definedName name="OSRRefH22_10x_0" localSheetId="47">'Div 3'!$H$144:$H$145</definedName>
    <definedName name="OSRRefH22_10x_0" localSheetId="70">'Div 4'!$H$70</definedName>
    <definedName name="OSRRefH22_10x_0" localSheetId="92">'Div 5'!$H$61:$H$62</definedName>
    <definedName name="OSRRefH22_10x_0" localSheetId="61">'Div 6'!$H$86:$H$88</definedName>
    <definedName name="OSRRefH22_10x_0" localSheetId="2">Summary!$H$171:$H$172</definedName>
    <definedName name="OSRRefH22_11x_0" localSheetId="41">'201'!$H$60:$H$62</definedName>
    <definedName name="OSRRefH22_11x_0" localSheetId="42">'202'!$H$64</definedName>
    <definedName name="OSRRefH22_11x_0" localSheetId="43">'203'!$H$63:$H$65</definedName>
    <definedName name="OSRRefH22_11x_0" localSheetId="48">'300'!$H$143:$H$145</definedName>
    <definedName name="OSRRefH22_11x_0" localSheetId="49">'300 &amp; 317'!$H$165:$H$167</definedName>
    <definedName name="OSRRefH22_11x_0" localSheetId="50">'301'!$H$61</definedName>
    <definedName name="OSRRefH22_11x_0" localSheetId="52">'307'!$H$71:$H$74</definedName>
    <definedName name="OSRRefH22_11x_0" localSheetId="53">'308'!$H$92:$H$94</definedName>
    <definedName name="OSRRefH22_11x_0" localSheetId="63">'310'!$H$67:$H$68</definedName>
    <definedName name="OSRRefH22_11x_0" localSheetId="71">'310 &amp; 491'!$H$72</definedName>
    <definedName name="OSRRefH22_11x_0" localSheetId="54">'311'!$H$91:$H$93</definedName>
    <definedName name="OSRRefH22_11x_0" localSheetId="57">'315'!$H$109</definedName>
    <definedName name="OSRRefH22_11x_0" localSheetId="60">'316'!$H$73</definedName>
    <definedName name="OSRRefH22_11x_0" localSheetId="62">'317'!$H$90</definedName>
    <definedName name="OSRRefH22_11x_0" localSheetId="66">'321'!$H$67:$H$68</definedName>
    <definedName name="OSRRefH22_11x_0" localSheetId="67">'322'!$H$64</definedName>
    <definedName name="OSRRefH22_11x_0" localSheetId="68">'325'!$H$63</definedName>
    <definedName name="OSRRefH22_11x_0" localSheetId="58">'326'!$H$79</definedName>
    <definedName name="OSRRefH22_11x_0" localSheetId="51">'330'!$H$71:$H$74</definedName>
    <definedName name="OSRRefH22_11x_0" localSheetId="56">'331'!$H$110</definedName>
    <definedName name="OSRRefH22_11x_0" localSheetId="59">'332'!$H$73</definedName>
    <definedName name="OSRRefH22_11x_0" localSheetId="73">'405'!$H$66:$H$74</definedName>
    <definedName name="OSRRefH22_11x_0" localSheetId="75">'411'!$H$70</definedName>
    <definedName name="OSRRefH22_11x_0" localSheetId="76">'412'!$H$65:$H$69</definedName>
    <definedName name="OSRRefH22_11x_0" localSheetId="79">'414'!$H$63:$H$65</definedName>
    <definedName name="OSRRefH22_11x_0" localSheetId="80">'415'!$H$68:$H$72</definedName>
    <definedName name="OSRRefH22_11x_0" localSheetId="81">'418'!$H$65:$H$74</definedName>
    <definedName name="OSRRefH22_11x_0" localSheetId="88">'433'!$H$67:$H$68</definedName>
    <definedName name="OSRRefH22_11x_0" localSheetId="90">'444'!$H$67:$H$69</definedName>
    <definedName name="OSRRefH22_11x_0" localSheetId="91">'450'!$H$62</definedName>
    <definedName name="OSRRefH22_11x_0" localSheetId="72">'491'!$H$69</definedName>
    <definedName name="OSRRefH22_11x_0" localSheetId="86">'492'!$H$67</definedName>
    <definedName name="OSRRefH22_11x_0" localSheetId="93">'501'!$H$64</definedName>
    <definedName name="OSRRefH22_11x_0" localSheetId="39">'Div 2'!$H$64:$H$65</definedName>
    <definedName name="OSRRefH22_11x_0" localSheetId="47">'Div 3'!$H$147:$H$149</definedName>
    <definedName name="OSRRefH22_11x_0" localSheetId="70">'Div 4'!$H$72</definedName>
    <definedName name="OSRRefH22_11x_0" localSheetId="92">'Div 5'!$H$64</definedName>
    <definedName name="OSRRefH22_11x_0" localSheetId="61">'Div 6'!$H$90</definedName>
    <definedName name="OSRRefH22_11x_0" localSheetId="2">Summary!$H$174:$H$176</definedName>
    <definedName name="OSRRefH22_12x_0" localSheetId="41">'201'!$H$64</definedName>
    <definedName name="OSRRefH22_12x_0" localSheetId="42">'202'!$H$66</definedName>
    <definedName name="OSRRefH22_12x_0" localSheetId="43">'203'!$H$67</definedName>
    <definedName name="OSRRefH22_12x_0" localSheetId="48">'300'!$H$147</definedName>
    <definedName name="OSRRefH22_12x_0" localSheetId="49">'300 &amp; 317'!$H$169</definedName>
    <definedName name="OSRRefH22_12x_0" localSheetId="50">'301'!$H$63</definedName>
    <definedName name="OSRRefH22_12x_0" localSheetId="52">'307'!$H$76:$H$77</definedName>
    <definedName name="OSRRefH22_12x_0" localSheetId="53">'308'!$H$96:$H$97</definedName>
    <definedName name="OSRRefH22_12x_0" localSheetId="63">'310'!$H$70</definedName>
    <definedName name="OSRRefH22_12x_0" localSheetId="71">'310 &amp; 491'!$H$74</definedName>
    <definedName name="OSRRefH22_12x_0" localSheetId="54">'311'!$H$95:$H$96</definedName>
    <definedName name="OSRRefH22_12x_0" localSheetId="57">'315'!$H$111:$H$113</definedName>
    <definedName name="OSRRefH22_12x_0" localSheetId="66">'321'!$H$70</definedName>
    <definedName name="OSRRefH22_12x_0" localSheetId="68">'325'!$H$65:$H$67</definedName>
    <definedName name="OSRRefH22_12x_0" localSheetId="58">'326'!$H$81</definedName>
    <definedName name="OSRRefH22_12x_0" localSheetId="51">'330'!$H$76:$H$77</definedName>
    <definedName name="OSRRefH22_12x_0" localSheetId="56">'331'!$H$112</definedName>
    <definedName name="OSRRefH22_12x_0" localSheetId="73">'405'!$H$76</definedName>
    <definedName name="OSRRefH22_12x_0" localSheetId="75">'411'!$H$72</definedName>
    <definedName name="OSRRefH22_12x_0" localSheetId="76">'412'!$H$71:$H$72</definedName>
    <definedName name="OSRRefH22_12x_0" localSheetId="79">'414'!$H$67</definedName>
    <definedName name="OSRRefH22_12x_0" localSheetId="80">'415'!$H$74</definedName>
    <definedName name="OSRRefH22_12x_0" localSheetId="81">'418'!$H$76:$H$77</definedName>
    <definedName name="OSRRefH22_12x_0" localSheetId="88">'433'!$H$70:$H$73</definedName>
    <definedName name="OSRRefH22_12x_0" localSheetId="90">'444'!$H$71:$H$73</definedName>
    <definedName name="OSRRefH22_12x_0" localSheetId="91">'450'!$H$64</definedName>
    <definedName name="OSRRefH22_12x_0" localSheetId="72">'491'!$H$71:$H$73</definedName>
    <definedName name="OSRRefH22_12x_0" localSheetId="86">'492'!$H$69:$H$71</definedName>
    <definedName name="OSRRefH22_12x_0" localSheetId="39">'Div 2'!$H$67:$H$70</definedName>
    <definedName name="OSRRefH22_12x_0" localSheetId="47">'Div 3'!$H$151</definedName>
    <definedName name="OSRRefH22_12x_0" localSheetId="70">'Div 4'!$H$74</definedName>
    <definedName name="OSRRefH22_12x_0" localSheetId="2">Summary!$H$178</definedName>
    <definedName name="OSRRefH22_13x_0" localSheetId="43">'203'!$H$69</definedName>
    <definedName name="OSRRefH22_13x_0" localSheetId="48">'300'!$H$149</definedName>
    <definedName name="OSRRefH22_13x_0" localSheetId="49">'300 &amp; 317'!$H$171</definedName>
    <definedName name="OSRRefH22_13x_0" localSheetId="50">'301'!$H$65:$H$68</definedName>
    <definedName name="OSRRefH22_13x_0" localSheetId="52">'307'!$H$79</definedName>
    <definedName name="OSRRefH22_13x_0" localSheetId="53">'308'!$H$99</definedName>
    <definedName name="OSRRefH22_13x_0" localSheetId="63">'310'!$H$72:$H$75</definedName>
    <definedName name="OSRRefH22_13x_0" localSheetId="71">'310 &amp; 491'!$H$76:$H$78</definedName>
    <definedName name="OSRRefH22_13x_0" localSheetId="54">'311'!$H$98</definedName>
    <definedName name="OSRRefH22_13x_0" localSheetId="57">'315'!$H$115</definedName>
    <definedName name="OSRRefH22_13x_0" localSheetId="66">'321'!$H$72</definedName>
    <definedName name="OSRRefH22_13x_0" localSheetId="68">'325'!$H$69:$H$70</definedName>
    <definedName name="OSRRefH22_13x_0" localSheetId="58">'326'!$H$83</definedName>
    <definedName name="OSRRefH22_13x_0" localSheetId="51">'330'!$H$79</definedName>
    <definedName name="OSRRefH22_13x_0" localSheetId="56">'331'!$H$114</definedName>
    <definedName name="OSRRefH22_13x_0" localSheetId="73">'405'!$H$78</definedName>
    <definedName name="OSRRefH22_13x_0" localSheetId="76">'412'!$H$74</definedName>
    <definedName name="OSRRefH22_13x_0" localSheetId="79">'414'!$H$69</definedName>
    <definedName name="OSRRefH22_13x_0" localSheetId="80">'415'!$H$76:$H$82</definedName>
    <definedName name="OSRRefH22_13x_0" localSheetId="81">'418'!$H$79</definedName>
    <definedName name="OSRRefH22_13x_0" localSheetId="88">'433'!$H$75:$H$82</definedName>
    <definedName name="OSRRefH22_13x_0" localSheetId="90">'444'!$H$75:$H$83</definedName>
    <definedName name="OSRRefH22_13x_0" localSheetId="91">'450'!$H$66:$H$68</definedName>
    <definedName name="OSRRefH22_13x_0" localSheetId="72">'491'!$H$75:$H$76</definedName>
    <definedName name="OSRRefH22_13x_0" localSheetId="86">'492'!$H$73:$H$76</definedName>
    <definedName name="OSRRefH22_13x_0" localSheetId="39">'Div 2'!$H$72:$H$75</definedName>
    <definedName name="OSRRefH22_13x_0" localSheetId="47">'Div 3'!$H$153</definedName>
    <definedName name="OSRRefH22_13x_0" localSheetId="70">'Div 4'!$H$76</definedName>
    <definedName name="OSRRefH22_13x_0" localSheetId="2">Summary!$H$180</definedName>
    <definedName name="OSRRefH22_14x_0" localSheetId="48">'300'!$H$151</definedName>
    <definedName name="OSRRefH22_14x_0" localSheetId="49">'300 &amp; 317'!$H$173</definedName>
    <definedName name="OSRRefH22_14x_0" localSheetId="50">'301'!$H$70:$H$72</definedName>
    <definedName name="OSRRefH22_14x_0" localSheetId="63">'310'!$H$77</definedName>
    <definedName name="OSRRefH22_14x_0" localSheetId="71">'310 &amp; 491'!$H$80:$H$81</definedName>
    <definedName name="OSRRefH22_14x_0" localSheetId="57">'315'!$H$117:$H$123</definedName>
    <definedName name="OSRRefH22_14x_0" localSheetId="68">'325'!$H$72</definedName>
    <definedName name="OSRRefH22_14x_0" localSheetId="58">'326'!$H$85:$H$87</definedName>
    <definedName name="OSRRefH22_14x_0" localSheetId="56">'331'!$H$116</definedName>
    <definedName name="OSRRefH22_14x_0" localSheetId="73">'405'!$H$80</definedName>
    <definedName name="OSRRefH22_14x_0" localSheetId="79">'414'!$H$71</definedName>
    <definedName name="OSRRefH22_14x_0" localSheetId="80">'415'!$H$84:$H$85</definedName>
    <definedName name="OSRRefH22_14x_0" localSheetId="88">'433'!$H$84</definedName>
    <definedName name="OSRRefH22_14x_0" localSheetId="90">'444'!$H$85:$H$86</definedName>
    <definedName name="OSRRefH22_14x_0" localSheetId="91">'450'!$H$70:$H$75</definedName>
    <definedName name="OSRRefH22_14x_0" localSheetId="72">'491'!$H$78:$H$82</definedName>
    <definedName name="OSRRefH22_14x_0" localSheetId="86">'492'!$H$78:$H$87</definedName>
    <definedName name="OSRRefH22_14x_0" localSheetId="39">'Div 2'!$H$77:$H$78</definedName>
    <definedName name="OSRRefH22_14x_0" localSheetId="47">'Div 3'!$H$155</definedName>
    <definedName name="OSRRefH22_14x_0" localSheetId="70">'Div 4'!$H$78:$H$80</definedName>
    <definedName name="OSRRefH22_14x_0" localSheetId="2">Summary!$H$182</definedName>
    <definedName name="OSRRefH22_15x_0" localSheetId="48">'300'!$H$153</definedName>
    <definedName name="OSRRefH22_15x_0" localSheetId="49">'300 &amp; 317'!$H$175</definedName>
    <definedName name="OSRRefH22_15x_0" localSheetId="50">'301'!$H$74</definedName>
    <definedName name="OSRRefH22_15x_0" localSheetId="63">'310'!$H$79:$H$83</definedName>
    <definedName name="OSRRefH22_15x_0" localSheetId="71">'310 &amp; 491'!$H$83:$H$87</definedName>
    <definedName name="OSRRefH22_15x_0" localSheetId="57">'315'!$H$125</definedName>
    <definedName name="OSRRefH22_15x_0" localSheetId="58">'326'!$H$89:$H$90</definedName>
    <definedName name="OSRRefH22_15x_0" localSheetId="56">'331'!$H$118:$H$120</definedName>
    <definedName name="OSRRefH22_15x_0" localSheetId="80">'415'!$H$87</definedName>
    <definedName name="OSRRefH22_15x_0" localSheetId="90">'444'!$H$88</definedName>
    <definedName name="OSRRefH22_15x_0" localSheetId="91">'450'!$H$77:$H$78</definedName>
    <definedName name="OSRRefH22_15x_0" localSheetId="72">'491'!$H$84</definedName>
    <definedName name="OSRRefH22_15x_0" localSheetId="86">'492'!$H$89:$H$90</definedName>
    <definedName name="OSRRefH22_15x_0" localSheetId="39">'Div 2'!$H$80:$H$81</definedName>
    <definedName name="OSRRefH22_15x_0" localSheetId="47">'Div 3'!$H$157</definedName>
    <definedName name="OSRRefH22_15x_0" localSheetId="70">'Div 4'!$H$82:$H$83</definedName>
    <definedName name="OSRRefH22_15x_0" localSheetId="2">Summary!$H$184</definedName>
    <definedName name="OSRRefH22_16x_0" localSheetId="48">'300'!$H$155:$H$158</definedName>
    <definedName name="OSRRefH22_16x_0" localSheetId="49">'300 &amp; 317'!$H$177:$H$180</definedName>
    <definedName name="OSRRefH22_16x_0" localSheetId="50">'301'!$H$76:$H$81</definedName>
    <definedName name="OSRRefH22_16x_0" localSheetId="63">'310'!$H$85:$H$86</definedName>
    <definedName name="OSRRefH22_16x_0" localSheetId="71">'310 &amp; 491'!$H$89</definedName>
    <definedName name="OSRRefH22_16x_0" localSheetId="57">'315'!$H$127:$H$128</definedName>
    <definedName name="OSRRefH22_16x_0" localSheetId="58">'326'!$H$92:$H$97</definedName>
    <definedName name="OSRRefH22_16x_0" localSheetId="56">'331'!$H$122:$H$124</definedName>
    <definedName name="OSRRefH22_16x_0" localSheetId="91">'450'!$H$80</definedName>
    <definedName name="OSRRefH22_16x_0" localSheetId="72">'491'!$H$86:$H$96</definedName>
    <definedName name="OSRRefH22_16x_0" localSheetId="86">'492'!$H$92</definedName>
    <definedName name="OSRRefH22_16x_0" localSheetId="39">'Div 2'!$H$83:$H$87</definedName>
    <definedName name="OSRRefH22_16x_0" localSheetId="47">'Div 3'!$H$159</definedName>
    <definedName name="OSRRefH22_16x_0" localSheetId="70">'Div 4'!$H$85:$H$89</definedName>
    <definedName name="OSRRefH22_16x_0" localSheetId="2">Summary!$H$186</definedName>
    <definedName name="OSRRefH22_17x_0" localSheetId="48">'300'!$H$160:$H$163</definedName>
    <definedName name="OSRRefH22_17x_0" localSheetId="49">'300 &amp; 317'!$H$182:$H$185</definedName>
    <definedName name="OSRRefH22_17x_0" localSheetId="50">'301'!$H$83</definedName>
    <definedName name="OSRRefH22_17x_0" localSheetId="63">'310'!$H$88</definedName>
    <definedName name="OSRRefH22_17x_0" localSheetId="71">'310 &amp; 491'!$H$91:$H$101</definedName>
    <definedName name="OSRRefH22_17x_0" localSheetId="58">'326'!$H$99:$H$100</definedName>
    <definedName name="OSRRefH22_17x_0" localSheetId="56">'331'!$H$126:$H$127</definedName>
    <definedName name="OSRRefH22_17x_0" localSheetId="72">'491'!$H$98:$H$99</definedName>
    <definedName name="OSRRefH22_17x_0" localSheetId="86">'492'!$H$94</definedName>
    <definedName name="OSRRefH22_17x_0" localSheetId="39">'Div 2'!$H$89:$H$90</definedName>
    <definedName name="OSRRefH22_17x_0" localSheetId="47">'Div 3'!$H$161:$H$164</definedName>
    <definedName name="OSRRefH22_17x_0" localSheetId="70">'Div 4'!$H$91</definedName>
    <definedName name="OSRRefH22_17x_0" localSheetId="2">Summary!$H$188</definedName>
    <definedName name="OSRRefH22_18x_0" localSheetId="48">'300'!$H$165:$H$168</definedName>
    <definedName name="OSRRefH22_18x_0" localSheetId="49">'300 &amp; 317'!$H$187:$H$190</definedName>
    <definedName name="OSRRefH22_18x_0" localSheetId="50">'301'!$H$85</definedName>
    <definedName name="OSRRefH22_18x_0" localSheetId="63">'310'!$H$90</definedName>
    <definedName name="OSRRefH22_18x_0" localSheetId="71">'310 &amp; 491'!$H$103:$H$104</definedName>
    <definedName name="OSRRefH22_18x_0" localSheetId="58">'326'!$H$102</definedName>
    <definedName name="OSRRefH22_18x_0" localSheetId="56">'331'!$H$129:$H$136</definedName>
    <definedName name="OSRRefH22_18x_0" localSheetId="72">'491'!$H$101</definedName>
    <definedName name="OSRRefH22_18x_0" localSheetId="39">'Div 2'!$H$92</definedName>
    <definedName name="OSRRefH22_18x_0" localSheetId="47">'Div 3'!$H$166:$H$169</definedName>
    <definedName name="OSRRefH22_18x_0" localSheetId="70">'Div 4'!$H$93:$H$103</definedName>
    <definedName name="OSRRefH22_18x_0" localSheetId="2">Summary!$H$190:$H$193</definedName>
    <definedName name="OSRRefH22_19x_0" localSheetId="48">'300'!$H$170:$H$171</definedName>
    <definedName name="OSRRefH22_19x_0" localSheetId="49">'300 &amp; 317'!$H$192:$H$193</definedName>
    <definedName name="OSRRefH22_19x_0" localSheetId="50">'301'!$H$87</definedName>
    <definedName name="OSRRefH22_19x_0" localSheetId="71">'310 &amp; 491'!$H$106</definedName>
    <definedName name="OSRRefH22_19x_0" localSheetId="58">'326'!$H$104:$H$105</definedName>
    <definedName name="OSRRefH22_19x_0" localSheetId="56">'331'!$H$138:$H$139</definedName>
    <definedName name="OSRRefH22_19x_0" localSheetId="72">'491'!$H$103:$H$104</definedName>
    <definedName name="OSRRefH22_19x_0" localSheetId="39">'Div 2'!$H$94:$H$95</definedName>
    <definedName name="OSRRefH22_19x_0" localSheetId="47">'Div 3'!$H$171:$H$175</definedName>
    <definedName name="OSRRefH22_19x_0" localSheetId="70">'Div 4'!$H$105:$H$106</definedName>
    <definedName name="OSRRefH22_19x_0" localSheetId="2">Summary!$H$195:$H$198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'300'!$H$110:$H$119</definedName>
    <definedName name="OSRRefH22_1x_0" localSheetId="49">'300 &amp; 317'!$H$132:$H$141</definedName>
    <definedName name="OSRRefH22_1x_0" localSheetId="50">'301'!$H$30:$H$39</definedName>
    <definedName name="OSRRefH22_1x_0" localSheetId="52">'307'!$H$40:$H$49</definedName>
    <definedName name="OSRRefH22_1x_0" localSheetId="53">'308'!$H$61:$H$70</definedName>
    <definedName name="OSRRefH22_1x_0" localSheetId="64">'309'!$H$30:$H$39</definedName>
    <definedName name="OSRRefH22_1x_0" localSheetId="63">'310'!$H$37:$H$46</definedName>
    <definedName name="OSRRefH22_1x_0" localSheetId="71">'310 &amp; 491'!$H$41:$H$50</definedName>
    <definedName name="OSRRefH22_1x_0" localSheetId="54">'311'!$H$60:$H$69</definedName>
    <definedName name="OSRRefH22_1x_0" localSheetId="65">'313'!$H$33:$H$42</definedName>
    <definedName name="OSRRefH22_1x_0" localSheetId="57">'315'!$H$79:$H$88</definedName>
    <definedName name="OSRRefH22_1x_0" localSheetId="60">'316'!$H$40:$H$49</definedName>
    <definedName name="OSRRefH22_1x_0" localSheetId="62">'317'!$H$58:$H$67</definedName>
    <definedName name="OSRRefH22_1x_0" localSheetId="66">'321'!$H$35:$H$44</definedName>
    <definedName name="OSRRefH22_1x_0" localSheetId="67">'322'!$H$30:$H$39</definedName>
    <definedName name="OSRRefH22_1x_0" localSheetId="55">'324'!$H$36:$H$45</definedName>
    <definedName name="OSRRefH22_1x_0" localSheetId="68">'325'!$H$30:$H$39</definedName>
    <definedName name="OSRRefH22_1x_0" localSheetId="58">'326'!$H$49:$H$58</definedName>
    <definedName name="OSRRefH22_1x_0" localSheetId="51">'330'!$H$40:$H$49</definedName>
    <definedName name="OSRRefH22_1x_0" localSheetId="56">'331'!$H$79:$H$88</definedName>
    <definedName name="OSRRefH22_1x_0" localSheetId="59">'332'!$H$40:$H$49</definedName>
    <definedName name="OSRRefH22_1x_0" localSheetId="73">'405'!$H$32:$H$41</definedName>
    <definedName name="OSRRefH22_1x_0" localSheetId="74">'406'!$H$22</definedName>
    <definedName name="OSRRefH22_1x_0" localSheetId="75">'411'!$H$30:$H$39</definedName>
    <definedName name="OSRRefH22_1x_0" localSheetId="76">'412'!$H$31:$H$40</definedName>
    <definedName name="OSRRefH22_1x_0" localSheetId="78">'413'!$H$33:$H$42</definedName>
    <definedName name="OSRRefH22_1x_0" localSheetId="79">'414'!$H$34:$H$43</definedName>
    <definedName name="OSRRefH22_1x_0" localSheetId="80">'415'!$H$37:$H$46</definedName>
    <definedName name="OSRRefH22_1x_0" localSheetId="81">'418'!$H$32:$H$41</definedName>
    <definedName name="OSRRefH22_1x_0" localSheetId="82">'423'!$H$29:$H$38</definedName>
    <definedName name="OSRRefH22_1x_0" localSheetId="83">'424'!$H$22</definedName>
    <definedName name="OSRRefH22_1x_0" localSheetId="84">'425'!$H$26</definedName>
    <definedName name="OSRRefH22_1x_0" localSheetId="87">'430'!$H$30:$H$39</definedName>
    <definedName name="OSRRefH22_1x_0" localSheetId="88">'433'!$H$38:$H$47</definedName>
    <definedName name="OSRRefH22_1x_0" localSheetId="90">'444'!$H$38:$H$47</definedName>
    <definedName name="OSRRefH22_1x_0" localSheetId="91">'450'!$H$33:$H$42</definedName>
    <definedName name="OSRRefH22_1x_0" localSheetId="72">'491'!$H$38:$H$47</definedName>
    <definedName name="OSRRefH22_1x_0" localSheetId="86">'492'!$H$38:$H$47</definedName>
    <definedName name="OSRRefH22_1x_0" localSheetId="93">'501'!$H$32:$H$41</definedName>
    <definedName name="OSRRefH22_1x_0" localSheetId="39">'Div 2'!$H$33:$H$42</definedName>
    <definedName name="OSRRefH22_1x_0" localSheetId="47">'Div 3'!$H$114:$H$123</definedName>
    <definedName name="OSRRefH22_1x_0" localSheetId="70">'Div 4'!$H$41:$H$50</definedName>
    <definedName name="OSRRefH22_1x_0" localSheetId="92">'Div 5'!$H$32:$H$41</definedName>
    <definedName name="OSRRefH22_1x_0" localSheetId="61">'Div 6'!$H$58:$H$67</definedName>
    <definedName name="OSRRefH22_1x_0" localSheetId="2">Summary!$H$140:$H$149</definedName>
    <definedName name="OSRRefH22_20x_0" localSheetId="48">'300'!$H$173:$H$181</definedName>
    <definedName name="OSRRefH22_20x_0" localSheetId="49">'300 &amp; 317'!$H$195:$H$203</definedName>
    <definedName name="OSRRefH22_20x_0" localSheetId="50">'301'!$H$89</definedName>
    <definedName name="OSRRefH22_20x_0" localSheetId="71">'310 &amp; 491'!$H$108:$H$109</definedName>
    <definedName name="OSRRefH22_20x_0" localSheetId="58">'326'!$H$107</definedName>
    <definedName name="OSRRefH22_20x_0" localSheetId="56">'331'!$H$141</definedName>
    <definedName name="OSRRefH22_20x_0" localSheetId="72">'491'!$H$106</definedName>
    <definedName name="OSRRefH22_20x_0" localSheetId="47">'Div 3'!$H$177:$H$178</definedName>
    <definedName name="OSRRefH22_20x_0" localSheetId="70">'Div 4'!$H$108</definedName>
    <definedName name="OSRRefH22_20x_0" localSheetId="2">Summary!$H$200:$H$204</definedName>
    <definedName name="OSRRefH22_21x_0" localSheetId="48">'300'!$H$183:$H$184</definedName>
    <definedName name="OSRRefH22_21x_0" localSheetId="49">'300 &amp; 317'!$H$205:$H$206</definedName>
    <definedName name="OSRRefH22_21x_0" localSheetId="71">'310 &amp; 491'!$H$111</definedName>
    <definedName name="OSRRefH22_21x_0" localSheetId="56">'331'!$H$143:$H$144</definedName>
    <definedName name="OSRRefH22_21x_0" localSheetId="47">'Div 3'!$H$180:$H$188</definedName>
    <definedName name="OSRRefH22_21x_0" localSheetId="70">'Div 4'!$H$110:$H$111</definedName>
    <definedName name="OSRRefH22_21x_0" localSheetId="2">Summary!$H$206:$H$207</definedName>
    <definedName name="OSRRefH22_22x_0" localSheetId="48">'300'!$H$186</definedName>
    <definedName name="OSRRefH22_22x_0" localSheetId="49">'300 &amp; 317'!$H$208</definedName>
    <definedName name="OSRRefH22_22x_0" localSheetId="56">'331'!$H$146</definedName>
    <definedName name="OSRRefH22_22x_0" localSheetId="47">'Div 3'!$H$190:$H$191</definedName>
    <definedName name="OSRRefH22_22x_0" localSheetId="70">'Div 4'!$H$113</definedName>
    <definedName name="OSRRefH22_22x_0" localSheetId="2">Summary!$H$209:$H$219</definedName>
    <definedName name="OSRRefH22_23x_0" localSheetId="48">'300'!$H$188:$H$190</definedName>
    <definedName name="OSRRefH22_23x_0" localSheetId="49">'300 &amp; 317'!$H$210:$H$212</definedName>
    <definedName name="OSRRefH22_23x_0" localSheetId="47">'Div 3'!$H$193</definedName>
    <definedName name="OSRRefH22_23x_0" localSheetId="2">Summary!$H$221:$H$222</definedName>
    <definedName name="OSRRefH22_24x_0" localSheetId="48">'300'!$H$192</definedName>
    <definedName name="OSRRefH22_24x_0" localSheetId="49">'300 &amp; 317'!$H$214</definedName>
    <definedName name="OSRRefH22_24x_0" localSheetId="47">'Div 3'!$H$195:$H$197</definedName>
    <definedName name="OSRRefH22_24x_0" localSheetId="2">Summary!$H$224</definedName>
    <definedName name="OSRRefH22_25x_0" localSheetId="47">'Div 3'!$H$199</definedName>
    <definedName name="OSRRefH22_25x_0" localSheetId="2">Summary!$H$226:$H$228</definedName>
    <definedName name="OSRRefH22_26x_0" localSheetId="2">Summary!$H$230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'300'!$H$121</definedName>
    <definedName name="OSRRefH22_2x_0" localSheetId="49">'300 &amp; 317'!$H$143</definedName>
    <definedName name="OSRRefH22_2x_0" localSheetId="50">'301'!$H$41:$H$42</definedName>
    <definedName name="OSRRefH22_2x_0" localSheetId="52">'307'!$H$51</definedName>
    <definedName name="OSRRefH22_2x_0" localSheetId="53">'308'!$H$72</definedName>
    <definedName name="OSRRefH22_2x_0" localSheetId="64">'309'!$H$41</definedName>
    <definedName name="OSRRefH22_2x_0" localSheetId="63">'310'!$H$48</definedName>
    <definedName name="OSRRefH22_2x_0" localSheetId="71">'310 &amp; 491'!$H$52</definedName>
    <definedName name="OSRRefH22_2x_0" localSheetId="54">'311'!$H$71</definedName>
    <definedName name="OSRRefH22_2x_0" localSheetId="65">'313'!$H$44</definedName>
    <definedName name="OSRRefH22_2x_0" localSheetId="57">'315'!$H$90</definedName>
    <definedName name="OSRRefH22_2x_0" localSheetId="60">'316'!$H$51</definedName>
    <definedName name="OSRRefH22_2x_0" localSheetId="62">'317'!$H$69</definedName>
    <definedName name="OSRRefH22_2x_0" localSheetId="66">'321'!$H$46</definedName>
    <definedName name="OSRRefH22_2x_0" localSheetId="67">'322'!$H$41</definedName>
    <definedName name="OSRRefH22_2x_0" localSheetId="68">'325'!$H$41</definedName>
    <definedName name="OSRRefH22_2x_0" localSheetId="58">'326'!$H$60</definedName>
    <definedName name="OSRRefH22_2x_0" localSheetId="51">'330'!$H$51</definedName>
    <definedName name="OSRRefH22_2x_0" localSheetId="56">'331'!$H$90</definedName>
    <definedName name="OSRRefH22_2x_0" localSheetId="59">'332'!$H$51</definedName>
    <definedName name="OSRRefH22_2x_0" localSheetId="73">'405'!$H$43</definedName>
    <definedName name="OSRRefH22_2x_0" localSheetId="74">'406'!$H$24</definedName>
    <definedName name="OSRRefH22_2x_0" localSheetId="75">'411'!$H$41</definedName>
    <definedName name="OSRRefH22_2x_0" localSheetId="76">'412'!$H$42</definedName>
    <definedName name="OSRRefH22_2x_0" localSheetId="78">'413'!$H$44</definedName>
    <definedName name="OSRRefH22_2x_0" localSheetId="79">'414'!$H$45</definedName>
    <definedName name="OSRRefH22_2x_0" localSheetId="80">'415'!$H$48</definedName>
    <definedName name="OSRRefH22_2x_0" localSheetId="81">'418'!$H$43</definedName>
    <definedName name="OSRRefH22_2x_0" localSheetId="82">'423'!$H$40</definedName>
    <definedName name="OSRRefH22_2x_0" localSheetId="83">'424'!$H$24</definedName>
    <definedName name="OSRRefH22_2x_0" localSheetId="84">'425'!$H$28</definedName>
    <definedName name="OSRRefH22_2x_0" localSheetId="87">'430'!$H$41:$H$43</definedName>
    <definedName name="OSRRefH22_2x_0" localSheetId="88">'433'!$H$49</definedName>
    <definedName name="OSRRefH22_2x_0" localSheetId="90">'444'!$H$49</definedName>
    <definedName name="OSRRefH22_2x_0" localSheetId="91">'450'!$H$44</definedName>
    <definedName name="OSRRefH22_2x_0" localSheetId="72">'491'!$H$49</definedName>
    <definedName name="OSRRefH22_2x_0" localSheetId="86">'492'!$H$49</definedName>
    <definedName name="OSRRefH22_2x_0" localSheetId="93">'501'!$H$43</definedName>
    <definedName name="OSRRefH22_2x_0" localSheetId="39">'Div 2'!$H$44</definedName>
    <definedName name="OSRRefH22_2x_0" localSheetId="47">'Div 3'!$H$125</definedName>
    <definedName name="OSRRefH22_2x_0" localSheetId="70">'Div 4'!$H$52</definedName>
    <definedName name="OSRRefH22_2x_0" localSheetId="92">'Div 5'!$H$43</definedName>
    <definedName name="OSRRefH22_2x_0" localSheetId="61">'Div 6'!$H$69</definedName>
    <definedName name="OSRRefH22_2x_0" localSheetId="2">Summary!$H$151</definedName>
    <definedName name="OSRRefH22_3x_0" localSheetId="40">'200'!$H$26:$H$27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'205'!$H$43:$H$44</definedName>
    <definedName name="OSRRefH22_3x_0" localSheetId="46">'206'!$H$43</definedName>
    <definedName name="OSRRefH22_3x_0" localSheetId="48">'300'!$H$123:$H$124</definedName>
    <definedName name="OSRRefH22_3x_0" localSheetId="49">'300 &amp; 317'!$H$145:$H$146</definedName>
    <definedName name="OSRRefH22_3x_0" localSheetId="50">'301'!$H$44</definedName>
    <definedName name="OSRRefH22_3x_0" localSheetId="52">'307'!$H$53</definedName>
    <definedName name="OSRRefH22_3x_0" localSheetId="53">'308'!$H$74</definedName>
    <definedName name="OSRRefH22_3x_0" localSheetId="64">'309'!$H$43</definedName>
    <definedName name="OSRRefH22_3x_0" localSheetId="63">'310'!$H$50</definedName>
    <definedName name="OSRRefH22_3x_0" localSheetId="71">'310 &amp; 491'!$H$54</definedName>
    <definedName name="OSRRefH22_3x_0" localSheetId="54">'311'!$H$73</definedName>
    <definedName name="OSRRefH22_3x_0" localSheetId="65">'313'!$H$46</definedName>
    <definedName name="OSRRefH22_3x_0" localSheetId="57">'315'!$H$92</definedName>
    <definedName name="OSRRefH22_3x_0" localSheetId="60">'316'!$H$53</definedName>
    <definedName name="OSRRefH22_3x_0" localSheetId="62">'317'!$H$71</definedName>
    <definedName name="OSRRefH22_3x_0" localSheetId="66">'321'!$H$48</definedName>
    <definedName name="OSRRefH22_3x_0" localSheetId="67">'322'!$H$43</definedName>
    <definedName name="OSRRefH22_3x_0" localSheetId="68">'325'!$H$43</definedName>
    <definedName name="OSRRefH22_3x_0" localSheetId="58">'326'!$H$62</definedName>
    <definedName name="OSRRefH22_3x_0" localSheetId="51">'330'!$H$53</definedName>
    <definedName name="OSRRefH22_3x_0" localSheetId="56">'331'!$H$92</definedName>
    <definedName name="OSRRefH22_3x_0" localSheetId="59">'332'!$H$53</definedName>
    <definedName name="OSRRefH22_3x_0" localSheetId="73">'405'!$H$45</definedName>
    <definedName name="OSRRefH22_3x_0" localSheetId="74">'406'!$H$26</definedName>
    <definedName name="OSRRefH22_3x_0" localSheetId="75">'411'!$H$43</definedName>
    <definedName name="OSRRefH22_3x_0" localSheetId="76">'412'!$H$44</definedName>
    <definedName name="OSRRefH22_3x_0" localSheetId="78">'413'!$H$46</definedName>
    <definedName name="OSRRefH22_3x_0" localSheetId="79">'414'!$H$47</definedName>
    <definedName name="OSRRefH22_3x_0" localSheetId="80">'415'!$H$50</definedName>
    <definedName name="OSRRefH22_3x_0" localSheetId="81">'418'!$H$45</definedName>
    <definedName name="OSRRefH22_3x_0" localSheetId="82">'423'!$H$42:$H$43</definedName>
    <definedName name="OSRRefH22_3x_0" localSheetId="83">'424'!$H$26</definedName>
    <definedName name="OSRRefH22_3x_0" localSheetId="84">'425'!$H$30</definedName>
    <definedName name="OSRRefH22_3x_0" localSheetId="87">'430'!$H$45:$H$46</definedName>
    <definedName name="OSRRefH22_3x_0" localSheetId="88">'433'!$H$51</definedName>
    <definedName name="OSRRefH22_3x_0" localSheetId="90">'444'!$H$51</definedName>
    <definedName name="OSRRefH22_3x_0" localSheetId="91">'450'!$H$46</definedName>
    <definedName name="OSRRefH22_3x_0" localSheetId="72">'491'!$H$51</definedName>
    <definedName name="OSRRefH22_3x_0" localSheetId="86">'492'!$H$51</definedName>
    <definedName name="OSRRefH22_3x_0" localSheetId="93">'501'!$H$45</definedName>
    <definedName name="OSRRefH22_3x_0" localSheetId="39">'Div 2'!$H$46</definedName>
    <definedName name="OSRRefH22_3x_0" localSheetId="47">'Div 3'!$H$127:$H$128</definedName>
    <definedName name="OSRRefH22_3x_0" localSheetId="70">'Div 4'!$H$54</definedName>
    <definedName name="OSRRefH22_3x_0" localSheetId="92">'Div 5'!$H$45</definedName>
    <definedName name="OSRRefH22_3x_0" localSheetId="61">'Div 6'!$H$71</definedName>
    <definedName name="OSRRefH22_3x_0" localSheetId="2">Summary!$H$153:$H$154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'205'!$H$46</definedName>
    <definedName name="OSRRefH22_4x_0" localSheetId="46">'206'!$H$45</definedName>
    <definedName name="OSRRefH22_4x_0" localSheetId="48">'300'!$H$126</definedName>
    <definedName name="OSRRefH22_4x_0" localSheetId="49">'300 &amp; 317'!$H$148</definedName>
    <definedName name="OSRRefH22_4x_0" localSheetId="50">'301'!$H$46:$H$47</definedName>
    <definedName name="OSRRefH22_4x_0" localSheetId="52">'307'!$H$55</definedName>
    <definedName name="OSRRefH22_4x_0" localSheetId="53">'308'!$H$76</definedName>
    <definedName name="OSRRefH22_4x_0" localSheetId="64">'309'!$H$45:$H$46</definedName>
    <definedName name="OSRRefH22_4x_0" localSheetId="63">'310'!$H$52</definedName>
    <definedName name="OSRRefH22_4x_0" localSheetId="71">'310 &amp; 491'!$H$56</definedName>
    <definedName name="OSRRefH22_4x_0" localSheetId="54">'311'!$H$75</definedName>
    <definedName name="OSRRefH22_4x_0" localSheetId="65">'313'!$H$48</definedName>
    <definedName name="OSRRefH22_4x_0" localSheetId="57">'315'!$H$94</definedName>
    <definedName name="OSRRefH22_4x_0" localSheetId="60">'316'!$H$55</definedName>
    <definedName name="OSRRefH22_4x_0" localSheetId="62">'317'!$H$73</definedName>
    <definedName name="OSRRefH22_4x_0" localSheetId="66">'321'!$H$50</definedName>
    <definedName name="OSRRefH22_4x_0" localSheetId="67">'322'!$H$45</definedName>
    <definedName name="OSRRefH22_4x_0" localSheetId="68">'325'!$H$45</definedName>
    <definedName name="OSRRefH22_4x_0" localSheetId="58">'326'!$H$64</definedName>
    <definedName name="OSRRefH22_4x_0" localSheetId="51">'330'!$H$55</definedName>
    <definedName name="OSRRefH22_4x_0" localSheetId="56">'331'!$H$94</definedName>
    <definedName name="OSRRefH22_4x_0" localSheetId="59">'332'!$H$55</definedName>
    <definedName name="OSRRefH22_4x_0" localSheetId="73">'405'!$H$47:$H$48</definedName>
    <definedName name="OSRRefH22_4x_0" localSheetId="74">'406'!$H$28</definedName>
    <definedName name="OSRRefH22_4x_0" localSheetId="75">'411'!$H$45:$H$46</definedName>
    <definedName name="OSRRefH22_4x_0" localSheetId="76">'412'!$H$46:$H$47</definedName>
    <definedName name="OSRRefH22_4x_0" localSheetId="78">'413'!$H$48</definedName>
    <definedName name="OSRRefH22_4x_0" localSheetId="79">'414'!$H$49</definedName>
    <definedName name="OSRRefH22_4x_0" localSheetId="80">'415'!$H$52</definedName>
    <definedName name="OSRRefH22_4x_0" localSheetId="81">'418'!$H$47:$H$48</definedName>
    <definedName name="OSRRefH22_4x_0" localSheetId="82">'423'!$H$45</definedName>
    <definedName name="OSRRefH22_4x_0" localSheetId="84">'425'!$H$32</definedName>
    <definedName name="OSRRefH22_4x_0" localSheetId="87">'430'!$H$48</definedName>
    <definedName name="OSRRefH22_4x_0" localSheetId="88">'433'!$H$53</definedName>
    <definedName name="OSRRefH22_4x_0" localSheetId="90">'444'!$H$53</definedName>
    <definedName name="OSRRefH22_4x_0" localSheetId="91">'450'!$H$48</definedName>
    <definedName name="OSRRefH22_4x_0" localSheetId="72">'491'!$H$53</definedName>
    <definedName name="OSRRefH22_4x_0" localSheetId="86">'492'!$H$53</definedName>
    <definedName name="OSRRefH22_4x_0" localSheetId="93">'501'!$H$47</definedName>
    <definedName name="OSRRefH22_4x_0" localSheetId="39">'Div 2'!$H$48</definedName>
    <definedName name="OSRRefH22_4x_0" localSheetId="47">'Div 3'!$H$130</definedName>
    <definedName name="OSRRefH22_4x_0" localSheetId="70">'Div 4'!$H$56</definedName>
    <definedName name="OSRRefH22_4x_0" localSheetId="92">'Div 5'!$H$47</definedName>
    <definedName name="OSRRefH22_4x_0" localSheetId="61">'Div 6'!$H$73</definedName>
    <definedName name="OSRRefH22_4x_0" localSheetId="2">Summary!$H$156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'300'!$H$128:$H$129</definedName>
    <definedName name="OSRRefH22_5x_0" localSheetId="49">'300 &amp; 317'!$H$150:$H$151</definedName>
    <definedName name="OSRRefH22_5x_0" localSheetId="50">'301'!$H$49</definedName>
    <definedName name="OSRRefH22_5x_0" localSheetId="52">'307'!$H$57</definedName>
    <definedName name="OSRRefH22_5x_0" localSheetId="53">'308'!$H$78</definedName>
    <definedName name="OSRRefH22_5x_0" localSheetId="64">'309'!$H$48:$H$49</definedName>
    <definedName name="OSRRefH22_5x_0" localSheetId="63">'310'!$H$54:$H$55</definedName>
    <definedName name="OSRRefH22_5x_0" localSheetId="71">'310 &amp; 491'!$H$58:$H$60</definedName>
    <definedName name="OSRRefH22_5x_0" localSheetId="54">'311'!$H$77</definedName>
    <definedName name="OSRRefH22_5x_0" localSheetId="65">'313'!$H$50</definedName>
    <definedName name="OSRRefH22_5x_0" localSheetId="57">'315'!$H$96</definedName>
    <definedName name="OSRRefH22_5x_0" localSheetId="60">'316'!$H$57</definedName>
    <definedName name="OSRRefH22_5x_0" localSheetId="62">'317'!$H$75</definedName>
    <definedName name="OSRRefH22_5x_0" localSheetId="66">'321'!$H$52</definedName>
    <definedName name="OSRRefH22_5x_0" localSheetId="67">'322'!$H$47</definedName>
    <definedName name="OSRRefH22_5x_0" localSheetId="68">'325'!$H$47:$H$48</definedName>
    <definedName name="OSRRefH22_5x_0" localSheetId="58">'326'!$H$66</definedName>
    <definedName name="OSRRefH22_5x_0" localSheetId="51">'330'!$H$57</definedName>
    <definedName name="OSRRefH22_5x_0" localSheetId="56">'331'!$H$96</definedName>
    <definedName name="OSRRefH22_5x_0" localSheetId="59">'332'!$H$57</definedName>
    <definedName name="OSRRefH22_5x_0" localSheetId="73">'405'!$H$50</definedName>
    <definedName name="OSRRefH22_5x_0" localSheetId="75">'411'!$H$48</definedName>
    <definedName name="OSRRefH22_5x_0" localSheetId="76">'412'!$H$49</definedName>
    <definedName name="OSRRefH22_5x_0" localSheetId="78">'413'!$H$50</definedName>
    <definedName name="OSRRefH22_5x_0" localSheetId="79">'414'!$H$51</definedName>
    <definedName name="OSRRefH22_5x_0" localSheetId="80">'415'!$H$54:$H$55</definedName>
    <definedName name="OSRRefH22_5x_0" localSheetId="81">'418'!$H$50</definedName>
    <definedName name="OSRRefH22_5x_0" localSheetId="82">'423'!$H$47</definedName>
    <definedName name="OSRRefH22_5x_0" localSheetId="87">'430'!$H$50</definedName>
    <definedName name="OSRRefH22_5x_0" localSheetId="88">'433'!$H$55</definedName>
    <definedName name="OSRRefH22_5x_0" localSheetId="90">'444'!$H$55</definedName>
    <definedName name="OSRRefH22_5x_0" localSheetId="91">'450'!$H$50</definedName>
    <definedName name="OSRRefH22_5x_0" localSheetId="72">'491'!$H$55:$H$57</definedName>
    <definedName name="OSRRefH22_5x_0" localSheetId="86">'492'!$H$55</definedName>
    <definedName name="OSRRefH22_5x_0" localSheetId="93">'501'!$H$49:$H$50</definedName>
    <definedName name="OSRRefH22_5x_0" localSheetId="39">'Div 2'!$H$50:$H$51</definedName>
    <definedName name="OSRRefH22_5x_0" localSheetId="47">'Div 3'!$H$132:$H$133</definedName>
    <definedName name="OSRRefH22_5x_0" localSheetId="70">'Div 4'!$H$58:$H$60</definedName>
    <definedName name="OSRRefH22_5x_0" localSheetId="92">'Div 5'!$H$49:$H$50</definedName>
    <definedName name="OSRRefH22_5x_0" localSheetId="61">'Div 6'!$H$75</definedName>
    <definedName name="OSRRefH22_5x_0" localSheetId="2">Summary!$H$158:$H$160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'204'!$H$51:$H$53</definedName>
    <definedName name="OSRRefH22_6x_0" localSheetId="45">'205'!$H$50</definedName>
    <definedName name="OSRRefH22_6x_0" localSheetId="46">'206'!$H$49</definedName>
    <definedName name="OSRRefH22_6x_0" localSheetId="48">'300'!$H$131</definedName>
    <definedName name="OSRRefH22_6x_0" localSheetId="49">'300 &amp; 317'!$H$153</definedName>
    <definedName name="OSRRefH22_6x_0" localSheetId="50">'301'!$H$51</definedName>
    <definedName name="OSRRefH22_6x_0" localSheetId="52">'307'!$H$59</definedName>
    <definedName name="OSRRefH22_6x_0" localSheetId="53">'308'!$H$80</definedName>
    <definedName name="OSRRefH22_6x_0" localSheetId="64">'309'!$H$51</definedName>
    <definedName name="OSRRefH22_6x_0" localSheetId="63">'310'!$H$57</definedName>
    <definedName name="OSRRefH22_6x_0" localSheetId="71">'310 &amp; 491'!$H$62</definedName>
    <definedName name="OSRRefH22_6x_0" localSheetId="54">'311'!$H$79</definedName>
    <definedName name="OSRRefH22_6x_0" localSheetId="65">'313'!$H$52</definedName>
    <definedName name="OSRRefH22_6x_0" localSheetId="57">'315'!$H$98</definedName>
    <definedName name="OSRRefH22_6x_0" localSheetId="60">'316'!$H$59:$H$60</definedName>
    <definedName name="OSRRefH22_6x_0" localSheetId="62">'317'!$H$77:$H$78</definedName>
    <definedName name="OSRRefH22_6x_0" localSheetId="66">'321'!$H$54</definedName>
    <definedName name="OSRRefH22_6x_0" localSheetId="67">'322'!$H$49</definedName>
    <definedName name="OSRRefH22_6x_0" localSheetId="68">'325'!$H$50</definedName>
    <definedName name="OSRRefH22_6x_0" localSheetId="58">'326'!$H$68</definedName>
    <definedName name="OSRRefH22_6x_0" localSheetId="51">'330'!$H$59</definedName>
    <definedName name="OSRRefH22_6x_0" localSheetId="56">'331'!$H$98</definedName>
    <definedName name="OSRRefH22_6x_0" localSheetId="59">'332'!$H$59:$H$60</definedName>
    <definedName name="OSRRefH22_6x_0" localSheetId="73">'405'!$H$52</definedName>
    <definedName name="OSRRefH22_6x_0" localSheetId="75">'411'!$H$50</definedName>
    <definedName name="OSRRefH22_6x_0" localSheetId="76">'412'!$H$51</definedName>
    <definedName name="OSRRefH22_6x_0" localSheetId="78">'413'!$H$52</definedName>
    <definedName name="OSRRefH22_6x_0" localSheetId="79">'414'!$H$53</definedName>
    <definedName name="OSRRefH22_6x_0" localSheetId="80">'415'!$H$57</definedName>
    <definedName name="OSRRefH22_6x_0" localSheetId="81">'418'!$H$52</definedName>
    <definedName name="OSRRefH22_6x_0" localSheetId="82">'423'!$H$49</definedName>
    <definedName name="OSRRefH22_6x_0" localSheetId="88">'433'!$H$57</definedName>
    <definedName name="OSRRefH22_6x_0" localSheetId="90">'444'!$H$57</definedName>
    <definedName name="OSRRefH22_6x_0" localSheetId="91">'450'!$H$52</definedName>
    <definedName name="OSRRefH22_6x_0" localSheetId="72">'491'!$H$59</definedName>
    <definedName name="OSRRefH22_6x_0" localSheetId="86">'492'!$H$57</definedName>
    <definedName name="OSRRefH22_6x_0" localSheetId="93">'501'!$H$52</definedName>
    <definedName name="OSRRefH22_6x_0" localSheetId="39">'Div 2'!$H$53</definedName>
    <definedName name="OSRRefH22_6x_0" localSheetId="47">'Div 3'!$H$135</definedName>
    <definedName name="OSRRefH22_6x_0" localSheetId="70">'Div 4'!$H$62</definedName>
    <definedName name="OSRRefH22_6x_0" localSheetId="92">'Div 5'!$H$52</definedName>
    <definedName name="OSRRefH22_6x_0" localSheetId="61">'Div 6'!$H$77:$H$78</definedName>
    <definedName name="OSRRefH22_6x_0" localSheetId="2">Summary!$H$162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'204'!$H$55:$H$56</definedName>
    <definedName name="OSRRefH22_7x_0" localSheetId="46">'206'!$H$51</definedName>
    <definedName name="OSRRefH22_7x_0" localSheetId="48">'300'!$H$133:$H$134</definedName>
    <definedName name="OSRRefH22_7x_0" localSheetId="49">'300 &amp; 317'!$H$155:$H$156</definedName>
    <definedName name="OSRRefH22_7x_0" localSheetId="50">'301'!$H$53</definedName>
    <definedName name="OSRRefH22_7x_0" localSheetId="52">'307'!$H$61</definedName>
    <definedName name="OSRRefH22_7x_0" localSheetId="53">'308'!$H$82:$H$83</definedName>
    <definedName name="OSRRefH22_7x_0" localSheetId="63">'310'!$H$59</definedName>
    <definedName name="OSRRefH22_7x_0" localSheetId="71">'310 &amp; 491'!$H$64</definedName>
    <definedName name="OSRRefH22_7x_0" localSheetId="54">'311'!$H$81:$H$82</definedName>
    <definedName name="OSRRefH22_7x_0" localSheetId="65">'313'!$H$54</definedName>
    <definedName name="OSRRefH22_7x_0" localSheetId="57">'315'!$H$100:$H$101</definedName>
    <definedName name="OSRRefH22_7x_0" localSheetId="60">'316'!$H$62</definedName>
    <definedName name="OSRRefH22_7x_0" localSheetId="62">'317'!$H$80</definedName>
    <definedName name="OSRRefH22_7x_0" localSheetId="66">'321'!$H$56:$H$57</definedName>
    <definedName name="OSRRefH22_7x_0" localSheetId="67">'322'!$H$51:$H$52</definedName>
    <definedName name="OSRRefH22_7x_0" localSheetId="68">'325'!$H$52</definedName>
    <definedName name="OSRRefH22_7x_0" localSheetId="58">'326'!$H$70</definedName>
    <definedName name="OSRRefH22_7x_0" localSheetId="51">'330'!$H$61</definedName>
    <definedName name="OSRRefH22_7x_0" localSheetId="56">'331'!$H$100</definedName>
    <definedName name="OSRRefH22_7x_0" localSheetId="59">'332'!$H$62</definedName>
    <definedName name="OSRRefH22_7x_0" localSheetId="73">'405'!$H$54</definedName>
    <definedName name="OSRRefH22_7x_0" localSheetId="75">'411'!$H$52:$H$53</definedName>
    <definedName name="OSRRefH22_7x_0" localSheetId="76">'412'!$H$53</definedName>
    <definedName name="OSRRefH22_7x_0" localSheetId="78">'413'!$H$54:$H$55</definedName>
    <definedName name="OSRRefH22_7x_0" localSheetId="79">'414'!$H$55</definedName>
    <definedName name="OSRRefH22_7x_0" localSheetId="80">'415'!$H$59</definedName>
    <definedName name="OSRRefH22_7x_0" localSheetId="81">'418'!$H$54</definedName>
    <definedName name="OSRRefH22_7x_0" localSheetId="88">'433'!$H$59</definedName>
    <definedName name="OSRRefH22_7x_0" localSheetId="90">'444'!$H$59</definedName>
    <definedName name="OSRRefH22_7x_0" localSheetId="91">'450'!$H$54</definedName>
    <definedName name="OSRRefH22_7x_0" localSheetId="72">'491'!$H$61</definedName>
    <definedName name="OSRRefH22_7x_0" localSheetId="86">'492'!$H$59</definedName>
    <definedName name="OSRRefH22_7x_0" localSheetId="93">'501'!$H$54</definedName>
    <definedName name="OSRRefH22_7x_0" localSheetId="39">'Div 2'!$H$55</definedName>
    <definedName name="OSRRefH22_7x_0" localSheetId="47">'Div 3'!$H$137:$H$138</definedName>
    <definedName name="OSRRefH22_7x_0" localSheetId="70">'Div 4'!$H$64</definedName>
    <definedName name="OSRRefH22_7x_0" localSheetId="92">'Div 5'!$H$54</definedName>
    <definedName name="OSRRefH22_7x_0" localSheetId="61">'Div 6'!$H$80</definedName>
    <definedName name="OSRRefH22_7x_0" localSheetId="2">Summary!$H$164:$H$165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'204'!$H$58</definedName>
    <definedName name="OSRRefH22_8x_0" localSheetId="46">'206'!$H$53:$H$54</definedName>
    <definedName name="OSRRefH22_8x_0" localSheetId="48">'300'!$H$136</definedName>
    <definedName name="OSRRefH22_8x_0" localSheetId="49">'300 &amp; 317'!$H$158</definedName>
    <definedName name="OSRRefH22_8x_0" localSheetId="50">'301'!$H$55</definedName>
    <definedName name="OSRRefH22_8x_0" localSheetId="52">'307'!$H$63</definedName>
    <definedName name="OSRRefH22_8x_0" localSheetId="53">'308'!$H$85</definedName>
    <definedName name="OSRRefH22_8x_0" localSheetId="63">'310'!$H$61</definedName>
    <definedName name="OSRRefH22_8x_0" localSheetId="71">'310 &amp; 491'!$H$66</definedName>
    <definedName name="OSRRefH22_8x_0" localSheetId="54">'311'!$H$84</definedName>
    <definedName name="OSRRefH22_8x_0" localSheetId="65">'313'!$H$56:$H$58</definedName>
    <definedName name="OSRRefH22_8x_0" localSheetId="57">'315'!$H$103</definedName>
    <definedName name="OSRRefH22_8x_0" localSheetId="60">'316'!$H$64</definedName>
    <definedName name="OSRRefH22_8x_0" localSheetId="62">'317'!$H$82</definedName>
    <definedName name="OSRRefH22_8x_0" localSheetId="66">'321'!$H$59</definedName>
    <definedName name="OSRRefH22_8x_0" localSheetId="67">'322'!$H$54:$H$55</definedName>
    <definedName name="OSRRefH22_8x_0" localSheetId="68">'325'!$H$54</definedName>
    <definedName name="OSRRefH22_8x_0" localSheetId="58">'326'!$H$72:$H$73</definedName>
    <definedName name="OSRRefH22_8x_0" localSheetId="51">'330'!$H$63</definedName>
    <definedName name="OSRRefH22_8x_0" localSheetId="56">'331'!$H$102:$H$103</definedName>
    <definedName name="OSRRefH22_8x_0" localSheetId="59">'332'!$H$64</definedName>
    <definedName name="OSRRefH22_8x_0" localSheetId="73">'405'!$H$56:$H$57</definedName>
    <definedName name="OSRRefH22_8x_0" localSheetId="75">'411'!$H$55:$H$58</definedName>
    <definedName name="OSRRefH22_8x_0" localSheetId="76">'412'!$H$55:$H$56</definedName>
    <definedName name="OSRRefH22_8x_0" localSheetId="78">'413'!$H$57:$H$58</definedName>
    <definedName name="OSRRefH22_8x_0" localSheetId="79">'414'!$H$57</definedName>
    <definedName name="OSRRefH22_8x_0" localSheetId="80">'415'!$H$61</definedName>
    <definedName name="OSRRefH22_8x_0" localSheetId="81">'418'!$H$56:$H$58</definedName>
    <definedName name="OSRRefH22_8x_0" localSheetId="88">'433'!$H$61</definedName>
    <definedName name="OSRRefH22_8x_0" localSheetId="90">'444'!$H$61</definedName>
    <definedName name="OSRRefH22_8x_0" localSheetId="91">'450'!$H$56</definedName>
    <definedName name="OSRRefH22_8x_0" localSheetId="72">'491'!$H$63</definedName>
    <definedName name="OSRRefH22_8x_0" localSheetId="86">'492'!$H$61</definedName>
    <definedName name="OSRRefH22_8x_0" localSheetId="93">'501'!$H$56</definedName>
    <definedName name="OSRRefH22_8x_0" localSheetId="39">'Div 2'!$H$57</definedName>
    <definedName name="OSRRefH22_8x_0" localSheetId="47">'Div 3'!$H$140</definedName>
    <definedName name="OSRRefH22_8x_0" localSheetId="70">'Div 4'!$H$66</definedName>
    <definedName name="OSRRefH22_8x_0" localSheetId="92">'Div 5'!$H$56</definedName>
    <definedName name="OSRRefH22_8x_0" localSheetId="61">'Div 6'!$H$82</definedName>
    <definedName name="OSRRefH22_8x_0" localSheetId="2">Summary!$H$167</definedName>
    <definedName name="OSRRefH22_9x_0" localSheetId="41">'201'!$H$56</definedName>
    <definedName name="OSRRefH22_9x_0" localSheetId="42">'202'!$H$58:$H$60</definedName>
    <definedName name="OSRRefH22_9x_0" localSheetId="43">'203'!$H$59</definedName>
    <definedName name="OSRRefH22_9x_0" localSheetId="44">'204'!$H$60:$H$61</definedName>
    <definedName name="OSRRefH22_9x_0" localSheetId="46">'206'!$H$56</definedName>
    <definedName name="OSRRefH22_9x_0" localSheetId="48">'300'!$H$138</definedName>
    <definedName name="OSRRefH22_9x_0" localSheetId="49">'300 &amp; 317'!$H$160</definedName>
    <definedName name="OSRRefH22_9x_0" localSheetId="50">'301'!$H$57</definedName>
    <definedName name="OSRRefH22_9x_0" localSheetId="52">'307'!$H$65:$H$66</definedName>
    <definedName name="OSRRefH22_9x_0" localSheetId="53">'308'!$H$87:$H$88</definedName>
    <definedName name="OSRRefH22_9x_0" localSheetId="63">'310'!$H$63</definedName>
    <definedName name="OSRRefH22_9x_0" localSheetId="71">'310 &amp; 491'!$H$68</definedName>
    <definedName name="OSRRefH22_9x_0" localSheetId="54">'311'!$H$86:$H$87</definedName>
    <definedName name="OSRRefH22_9x_0" localSheetId="65">'313'!$H$60:$H$61</definedName>
    <definedName name="OSRRefH22_9x_0" localSheetId="57">'315'!$H$105</definedName>
    <definedName name="OSRRefH22_9x_0" localSheetId="60">'316'!$H$66:$H$69</definedName>
    <definedName name="OSRRefH22_9x_0" localSheetId="62">'317'!$H$84</definedName>
    <definedName name="OSRRefH22_9x_0" localSheetId="66">'321'!$H$61</definedName>
    <definedName name="OSRRefH22_9x_0" localSheetId="67">'322'!$H$57:$H$60</definedName>
    <definedName name="OSRRefH22_9x_0" localSheetId="68">'325'!$H$56:$H$57</definedName>
    <definedName name="OSRRefH22_9x_0" localSheetId="58">'326'!$H$75</definedName>
    <definedName name="OSRRefH22_9x_0" localSheetId="51">'330'!$H$65:$H$66</definedName>
    <definedName name="OSRRefH22_9x_0" localSheetId="56">'331'!$H$105:$H$106</definedName>
    <definedName name="OSRRefH22_9x_0" localSheetId="59">'332'!$H$66:$H$69</definedName>
    <definedName name="OSRRefH22_9x_0" localSheetId="73">'405'!$H$59:$H$62</definedName>
    <definedName name="OSRRefH22_9x_0" localSheetId="75">'411'!$H$60:$H$66</definedName>
    <definedName name="OSRRefH22_9x_0" localSheetId="76">'412'!$H$58</definedName>
    <definedName name="OSRRefH22_9x_0" localSheetId="78">'413'!$H$60:$H$67</definedName>
    <definedName name="OSRRefH22_9x_0" localSheetId="79">'414'!$H$59</definedName>
    <definedName name="OSRRefH22_9x_0" localSheetId="80">'415'!$H$63</definedName>
    <definedName name="OSRRefH22_9x_0" localSheetId="81">'418'!$H$60:$H$61</definedName>
    <definedName name="OSRRefH22_9x_0" localSheetId="88">'433'!$H$63</definedName>
    <definedName name="OSRRefH22_9x_0" localSheetId="90">'444'!$H$63</definedName>
    <definedName name="OSRRefH22_9x_0" localSheetId="91">'450'!$H$58</definedName>
    <definedName name="OSRRefH22_9x_0" localSheetId="72">'491'!$H$65</definedName>
    <definedName name="OSRRefH22_9x_0" localSheetId="86">'492'!$H$63</definedName>
    <definedName name="OSRRefH22_9x_0" localSheetId="93">'501'!$H$58:$H$59</definedName>
    <definedName name="OSRRefH22_9x_0" localSheetId="39">'Div 2'!$H$59:$H$60</definedName>
    <definedName name="OSRRefH22_9x_0" localSheetId="47">'Div 3'!$H$142</definedName>
    <definedName name="OSRRefH22_9x_0" localSheetId="70">'Div 4'!$H$68</definedName>
    <definedName name="OSRRefH22_9x_0" localSheetId="92">'Div 5'!$H$58:$H$59</definedName>
    <definedName name="OSRRefH22_9x_0" localSheetId="61">'Div 6'!$H$84</definedName>
    <definedName name="OSRRefH22_9x_0" localSheetId="2">Summary!$H$169</definedName>
    <definedName name="OSRRefH22x_0" localSheetId="40">'200'!$H$20,'200'!$H$22,'200'!$H$24,'200'!$H$26:$H$27</definedName>
    <definedName name="OSRRefH22x_0" localSheetId="41">'201'!$H$21:$H$29,'201'!$H$31:$H$40,'201'!$H$42,'201'!$H$44,'201'!$H$46,'201'!$H$48,'201'!$H$50,'201'!$H$52,'201'!$H$54,'201'!$H$56,'201'!$H$58,'201'!$H$60:$H$62,'201'!$H$64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'203'!$H$20:$H$29,'203'!$H$31:$H$40,'203'!$H$42,'203'!$H$44,'203'!$H$46,'203'!$H$48,'203'!$H$50,'203'!$H$52:$H$53,'203'!$H$55:$H$57,'203'!$H$59,'203'!$H$61,'203'!$H$63:$H$65,'203'!$H$67,'203'!$H$69</definedName>
    <definedName name="OSRRefH22x_0" localSheetId="44">'204'!$H$20:$H$29,'204'!$H$31:$H$40,'204'!$H$42,'204'!$H$44:$H$45,'204'!$H$47,'204'!$H$49,'204'!$H$51:$H$53,'204'!$H$55:$H$56,'204'!$H$58,'204'!$H$60:$H$61,'204'!$H$63</definedName>
    <definedName name="OSRRefH22x_0" localSheetId="45">'205'!$H$20:$H$28,'205'!$H$30:$H$39,'205'!$H$41,'205'!$H$43:$H$44,'205'!$H$46,'205'!$H$48,'205'!$H$50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$99:$H$108,'300'!$H$110:$H$119,'300'!$H$121,'300'!$H$123:$H$124,'300'!$H$126,'300'!$H$128:$H$129,'300'!$H$131,'300'!$H$133:$H$134,'300'!$H$136,'300'!$H$138,'300'!$H$140:$H$141,'300'!$H$143:$H$145,'300'!$H$147,'300'!$H$149,'300'!$H$151,'300'!$H$153,'300'!$H$155:$H$158,'300'!$H$160:$H$163,'300'!$H$165:$H$168,'300'!$H$170:$H$171,'300'!$H$173:$H$181,'300'!$H$183:$H$184,'300'!$H$186,'300'!$H$188:$H$190,'300'!$H$192</definedName>
    <definedName name="OSRRefH22x_0" localSheetId="49">'300 &amp; 317'!$H$121:$H$130,'300 &amp; 317'!$H$132:$H$141,'300 &amp; 317'!$H$143,'300 &amp; 317'!$H$145:$H$146,'300 &amp; 317'!$H$148,'300 &amp; 317'!$H$150:$H$151,'300 &amp; 317'!$H$153,'300 &amp; 317'!$H$155:$H$156,'300 &amp; 317'!$H$158,'300 &amp; 317'!$H$160,'300 &amp; 317'!$H$162:$H$163,'300 &amp; 317'!$H$165:$H$167,'300 &amp; 317'!$H$169,'300 &amp; 317'!$H$171,'300 &amp; 317'!$H$173,'300 &amp; 317'!$H$175,'300 &amp; 317'!$H$177:$H$180,'300 &amp; 317'!$H$182:$H$185,'300 &amp; 317'!$H$187:$H$190,'300 &amp; 317'!$H$192:$H$193,'300 &amp; 317'!$H$195:$H$203,'300 &amp; 317'!$H$205:$H$206,'300 &amp; 317'!$H$208,'300 &amp; 317'!$H$210:$H$212,'300 &amp; 317'!$H$214</definedName>
    <definedName name="OSRRefH22x_0" localSheetId="50">'301'!$H$20:$H$28,'301'!$H$30:$H$39,'301'!$H$41:$H$42,'301'!$H$44,'301'!$H$46:$H$47,'301'!$H$49,'301'!$H$51,'301'!$H$53,'301'!$H$55,'301'!$H$57,'301'!$H$59,'301'!$H$61,'301'!$H$63,'301'!$H$65:$H$68,'301'!$H$70:$H$72,'301'!$H$74,'301'!$H$76:$H$81,'301'!$H$83,'301'!$H$85,'301'!$H$87,'301'!$H$89</definedName>
    <definedName name="OSRRefH22x_0" localSheetId="52">'307'!$H$31:$H$38,'307'!$H$40:$H$49,'307'!$H$51,'307'!$H$53,'307'!$H$55,'307'!$H$57,'307'!$H$59,'307'!$H$61,'307'!$H$63,'307'!$H$65:$H$66,'307'!$H$68:$H$69,'307'!$H$71:$H$74,'307'!$H$76:$H$77,'307'!$H$79</definedName>
    <definedName name="OSRRefH22x_0" localSheetId="53">'308'!$H$50:$H$59,'308'!$H$61:$H$70,'308'!$H$72,'308'!$H$74,'308'!$H$76,'308'!$H$78,'308'!$H$80,'308'!$H$82:$H$83,'308'!$H$85,'308'!$H$87:$H$88,'308'!$H$90,'308'!$H$92:$H$94,'308'!$H$96:$H$97,'308'!$H$99</definedName>
    <definedName name="OSRRefH22x_0" localSheetId="64">'309'!$H$21:$H$28,'309'!$H$30:$H$39,'309'!$H$41,'309'!$H$43,'309'!$H$45:$H$46,'309'!$H$48:$H$49,'309'!$H$51</definedName>
    <definedName name="OSRRefH22x_0" localSheetId="63">'310'!$H$27:$H$35,'310'!$H$37:$H$46,'310'!$H$48,'310'!$H$50,'310'!$H$52,'310'!$H$54:$H$55,'310'!$H$57,'310'!$H$59,'310'!$H$61,'310'!$H$63,'310'!$H$65,'310'!$H$67:$H$68,'310'!$H$70,'310'!$H$72:$H$75,'310'!$H$77,'310'!$H$79:$H$83,'310'!$H$85:$H$86,'310'!$H$88,'310'!$H$90</definedName>
    <definedName name="OSRRefH22x_0" localSheetId="71">'310 &amp; 491'!$H$31:$H$39,'310 &amp; 491'!$H$41:$H$50,'310 &amp; 491'!$H$52,'310 &amp; 491'!$H$54,'310 &amp; 491'!$H$56,'310 &amp; 491'!$H$58:$H$60,'310 &amp; 491'!$H$62,'310 &amp; 491'!$H$64,'310 &amp; 491'!$H$66,'310 &amp; 491'!$H$68,'310 &amp; 491'!$H$70,'310 &amp; 491'!$H$72,'310 &amp; 491'!$H$74,'310 &amp; 491'!$H$76:$H$78,'310 &amp; 491'!$H$80:$H$81,'310 &amp; 491'!$H$83:$H$87,'310 &amp; 491'!$H$89,'310 &amp; 491'!$H$91:$H$101,'310 &amp; 491'!$H$103:$H$104,'310 &amp; 491'!$H$106,'310 &amp; 491'!$H$108:$H$109,'310 &amp; 491'!$H$111</definedName>
    <definedName name="OSRRefH22x_0" localSheetId="54">'311'!$H$49:$H$58,'311'!$H$60:$H$69,'311'!$H$71,'311'!$H$73,'311'!$H$75,'311'!$H$77,'311'!$H$79,'311'!$H$81:$H$82,'311'!$H$84,'311'!$H$86:$H$87,'311'!$H$89,'311'!$H$91:$H$93,'311'!$H$95:$H$96,'311'!$H$98</definedName>
    <definedName name="OSRRefH22x_0" localSheetId="65">'313'!$H$23:$H$31,'313'!$H$33:$H$42,'313'!$H$44,'313'!$H$46,'313'!$H$48,'313'!$H$50,'313'!$H$52,'313'!$H$54,'313'!$H$56:$H$58,'313'!$H$60:$H$61,'313'!$H$63</definedName>
    <definedName name="OSRRefH22x_0" localSheetId="57">'315'!$H$69:$H$77,'315'!$H$79:$H$88,'315'!$H$90,'315'!$H$92,'315'!$H$94,'315'!$H$96,'315'!$H$98,'315'!$H$100:$H$101,'315'!$H$103,'315'!$H$105,'315'!$H$107,'315'!$H$109,'315'!$H$111:$H$113,'315'!$H$115,'315'!$H$117:$H$123,'315'!$H$125,'315'!$H$127:$H$128</definedName>
    <definedName name="OSRRefH22x_0" localSheetId="60">'316'!$H$30:$H$38,'316'!$H$40:$H$49,'316'!$H$51,'316'!$H$53,'316'!$H$55,'316'!$H$57,'316'!$H$59:$H$60,'316'!$H$62,'316'!$H$64,'316'!$H$66:$H$69,'316'!$H$71,'316'!$H$73</definedName>
    <definedName name="OSRRefH22x_0" localSheetId="62">'317'!$H$47:$H$56,'317'!$H$58:$H$67,'317'!$H$69,'317'!$H$71,'317'!$H$73,'317'!$H$75,'317'!$H$77:$H$78,'317'!$H$80,'317'!$H$82,'317'!$H$84,'317'!$H$86:$H$88,'317'!$H$90</definedName>
    <definedName name="OSRRefH22x_0" localSheetId="66">'321'!$H$25:$H$33,'321'!$H$35:$H$44,'321'!$H$46,'321'!$H$48,'321'!$H$50,'321'!$H$52,'321'!$H$54,'321'!$H$56:$H$57,'321'!$H$59,'321'!$H$61,'321'!$H$63:$H$65,'321'!$H$67:$H$68,'321'!$H$70,'321'!$H$72</definedName>
    <definedName name="OSRRefH22x_0" localSheetId="67">'322'!$H$21:$H$28,'322'!$H$30:$H$39,'322'!$H$41,'322'!$H$43,'322'!$H$45,'322'!$H$47,'322'!$H$49,'322'!$H$51:$H$52,'322'!$H$54:$H$55,'322'!$H$57:$H$60,'322'!$H$62,'322'!$H$64</definedName>
    <definedName name="OSRRefH22x_0" localSheetId="55">'324'!$H$27:$H$34,'324'!$H$36:$H$45</definedName>
    <definedName name="OSRRefH22x_0" localSheetId="68">'325'!$H$21:$H$28,'325'!$H$30:$H$39,'325'!$H$41,'325'!$H$43,'325'!$H$45,'325'!$H$47:$H$48,'325'!$H$50,'325'!$H$52,'325'!$H$54,'325'!$H$56:$H$57,'325'!$H$59:$H$61,'325'!$H$63,'325'!$H$65:$H$67,'325'!$H$69:$H$70,'325'!$H$72</definedName>
    <definedName name="OSRRefH22x_0" localSheetId="58">'326'!$H$39:$H$47,'326'!$H$49:$H$58,'326'!$H$60,'326'!$H$62,'326'!$H$64,'326'!$H$66,'326'!$H$68,'326'!$H$70,'326'!$H$72:$H$73,'326'!$H$75,'326'!$H$77,'326'!$H$79,'326'!$H$81,'326'!$H$83,'326'!$H$85:$H$87,'326'!$H$89:$H$90,'326'!$H$92:$H$97,'326'!$H$99:$H$100,'326'!$H$102,'326'!$H$104:$H$105,'326'!$H$107</definedName>
    <definedName name="OSRRefH22x_0" localSheetId="69">'327'!$H$24</definedName>
    <definedName name="OSRRefH22x_0" localSheetId="51">'330'!$H$31:$H$38,'330'!$H$40:$H$49,'330'!$H$51,'330'!$H$53,'330'!$H$55,'330'!$H$57,'330'!$H$59,'330'!$H$61,'330'!$H$63,'330'!$H$65:$H$66,'330'!$H$68:$H$69,'330'!$H$71:$H$74,'330'!$H$76:$H$77,'330'!$H$79</definedName>
    <definedName name="OSRRefH22x_0" localSheetId="56">'331'!$H$69:$H$77,'331'!$H$79:$H$88,'331'!$H$90,'331'!$H$92,'331'!$H$94,'331'!$H$96,'331'!$H$98,'331'!$H$100,'331'!$H$102:$H$103,'331'!$H$105:$H$106,'331'!$H$108,'331'!$H$110,'331'!$H$112,'331'!$H$114,'331'!$H$116,'331'!$H$118:$H$120,'331'!$H$122:$H$124,'331'!$H$126:$H$127,'331'!$H$129:$H$136,'331'!$H$138:$H$139,'331'!$H$141,'331'!$H$143:$H$144,'331'!$H$146</definedName>
    <definedName name="OSRRefH22x_0" localSheetId="59">'332'!$H$30:$H$38,'332'!$H$40:$H$49,'332'!$H$51,'332'!$H$53,'332'!$H$55,'332'!$H$57,'332'!$H$59:$H$60,'332'!$H$62,'332'!$H$64,'332'!$H$66:$H$69,'332'!$H$71,'332'!$H$73</definedName>
    <definedName name="OSRRefH22x_0" localSheetId="73">'405'!$H$23:$H$30,'405'!$H$32:$H$41,'405'!$H$43,'405'!$H$45,'405'!$H$47:$H$48,'405'!$H$50,'405'!$H$52,'405'!$H$54,'405'!$H$56:$H$57,'405'!$H$59:$H$62,'405'!$H$64,'405'!$H$66:$H$74,'405'!$H$76,'405'!$H$78,'405'!$H$80</definedName>
    <definedName name="OSRRefH22x_0" localSheetId="74">'406'!$H$20,'406'!$H$22,'406'!$H$24,'406'!$H$26,'406'!$H$28</definedName>
    <definedName name="OSRRefH22x_0" localSheetId="75">'411'!$H$20:$H$28,'411'!$H$30:$H$39,'411'!$H$41,'411'!$H$43,'411'!$H$45:$H$46,'411'!$H$48,'411'!$H$50,'411'!$H$52:$H$53,'411'!$H$55:$H$58,'411'!$H$60:$H$66,'411'!$H$68,'411'!$H$70,'411'!$H$72</definedName>
    <definedName name="OSRRefH22x_0" localSheetId="76">'412'!$H$22:$H$29,'412'!$H$31:$H$40,'412'!$H$42,'412'!$H$44,'412'!$H$46:$H$47,'412'!$H$49,'412'!$H$51,'412'!$H$53,'412'!$H$55:$H$56,'412'!$H$58,'412'!$H$60:$H$63,'412'!$H$65:$H$69,'412'!$H$71:$H$72,'412'!$H$74</definedName>
    <definedName name="OSRRefH22x_0" localSheetId="78">'413'!$H$23:$H$31,'413'!$H$33:$H$42,'413'!$H$44,'413'!$H$46,'413'!$H$48,'413'!$H$50,'413'!$H$52,'413'!$H$54:$H$55,'413'!$H$57:$H$58,'413'!$H$60:$H$67,'413'!$H$69:$H$70</definedName>
    <definedName name="OSRRefH22x_0" localSheetId="79">'414'!$H$24:$H$32,'414'!$H$34:$H$43,'414'!$H$45,'414'!$H$47,'414'!$H$49,'414'!$H$51,'414'!$H$53,'414'!$H$55,'414'!$H$57,'414'!$H$59,'414'!$H$61,'414'!$H$63:$H$65,'414'!$H$67,'414'!$H$69,'414'!$H$71</definedName>
    <definedName name="OSRRefH22x_0" localSheetId="80">'415'!$H$27:$H$35,'415'!$H$37:$H$46,'415'!$H$48,'415'!$H$50,'415'!$H$52,'415'!$H$54:$H$55,'415'!$H$57,'415'!$H$59,'415'!$H$61,'415'!$H$63,'415'!$H$65:$H$66,'415'!$H$68:$H$72,'415'!$H$74,'415'!$H$76:$H$82,'415'!$H$84:$H$85,'415'!$H$87</definedName>
    <definedName name="OSRRefH22x_0" localSheetId="81">'418'!$H$23:$H$30,'418'!$H$32:$H$41,'418'!$H$43,'418'!$H$45,'418'!$H$47:$H$48,'418'!$H$50,'418'!$H$52,'418'!$H$54,'418'!$H$56:$H$58,'418'!$H$60:$H$61,'418'!$H$63,'418'!$H$65:$H$74,'418'!$H$76:$H$77,'418'!$H$79</definedName>
    <definedName name="OSRRefH22x_0" localSheetId="82">'423'!$H$20:$H$27,'423'!$H$29:$H$38,'423'!$H$40,'423'!$H$42:$H$43,'423'!$H$45,'423'!$H$47,'423'!$H$49</definedName>
    <definedName name="OSRRefH22x_0" localSheetId="83">'424'!$H$20,'424'!$H$22,'424'!$H$24,'424'!$H$26</definedName>
    <definedName name="OSRRefH22x_0" localSheetId="84">'425'!$H$20:$H$24,'425'!$H$26,'425'!$H$28,'425'!$H$30,'425'!$H$32</definedName>
    <definedName name="OSRRefH22x_0" localSheetId="87">'430'!$H$20:$H$28,'430'!$H$30:$H$39,'430'!$H$41:$H$43,'430'!$H$45:$H$46,'430'!$H$48,'430'!$H$50</definedName>
    <definedName name="OSRRefH22x_0" localSheetId="88">'433'!$H$27:$H$36,'433'!$H$38:$H$47,'433'!$H$49,'433'!$H$51,'433'!$H$53,'433'!$H$55,'433'!$H$57,'433'!$H$59,'433'!$H$61,'433'!$H$63,'433'!$H$65,'433'!$H$67:$H$68,'433'!$H$70:$H$73,'433'!$H$75:$H$82,'433'!$H$84</definedName>
    <definedName name="OSRRefH22x_0" localSheetId="89">'435'!$H$20</definedName>
    <definedName name="OSRRefH22x_0" localSheetId="90">'444'!$H$27:$H$36,'444'!$H$38:$H$47,'444'!$H$49,'444'!$H$51,'444'!$H$53,'444'!$H$55,'444'!$H$57,'444'!$H$59,'444'!$H$61,'444'!$H$63,'444'!$H$65,'444'!$H$67:$H$69,'444'!$H$71:$H$73,'444'!$H$75:$H$83,'444'!$H$85:$H$86,'444'!$H$88</definedName>
    <definedName name="OSRRefH22x_0" localSheetId="91">'450'!$H$22:$H$31,'450'!$H$33:$H$42,'450'!$H$44,'450'!$H$46,'450'!$H$48,'450'!$H$50,'450'!$H$52,'450'!$H$54,'450'!$H$56,'450'!$H$58,'450'!$H$60,'450'!$H$62,'450'!$H$64,'450'!$H$66:$H$68,'450'!$H$70:$H$75,'450'!$H$77:$H$78,'450'!$H$80</definedName>
    <definedName name="OSRRefH22x_0" localSheetId="72">'491'!$H$28:$H$36,'491'!$H$38:$H$47,'491'!$H$49,'491'!$H$51,'491'!$H$53,'491'!$H$55:$H$57,'491'!$H$59,'491'!$H$61,'491'!$H$63,'491'!$H$65,'491'!$H$67,'491'!$H$69,'491'!$H$71:$H$73,'491'!$H$75:$H$76,'491'!$H$78:$H$82,'491'!$H$84,'491'!$H$86:$H$96,'491'!$H$98:$H$99,'491'!$H$101,'491'!$H$103:$H$104,'491'!$H$106</definedName>
    <definedName name="OSRRefH22x_0" localSheetId="86">'492'!$H$27:$H$36,'492'!$H$38:$H$47,'492'!$H$49,'492'!$H$51,'492'!$H$53,'492'!$H$55,'492'!$H$57,'492'!$H$59,'492'!$H$61,'492'!$H$63,'492'!$H$65,'492'!$H$67,'492'!$H$69:$H$71,'492'!$H$73:$H$76,'492'!$H$78:$H$87,'492'!$H$89:$H$90,'492'!$H$92,'492'!$H$94</definedName>
    <definedName name="OSRRefH22x_0" localSheetId="93">'501'!$H$21:$H$30,'501'!$H$32:$H$41,'501'!$H$43,'501'!$H$45,'501'!$H$47,'501'!$H$49:$H$50,'501'!$H$52,'501'!$H$54,'501'!$H$56,'501'!$H$58:$H$59,'501'!$H$61:$H$62,'501'!$H$64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7">'Div 3'!$H$103:$H$112,'Div 3'!$H$114:$H$123,'Div 3'!$H$125,'Div 3'!$H$127:$H$128,'Div 3'!$H$130,'Div 3'!$H$132:$H$133,'Div 3'!$H$135,'Div 3'!$H$137:$H$138,'Div 3'!$H$140,'Div 3'!$H$142,'Div 3'!$H$144:$H$145,'Div 3'!$H$147:$H$149,'Div 3'!$H$151,'Div 3'!$H$153,'Div 3'!$H$155,'Div 3'!$H$157,'Div 3'!$H$159,'Div 3'!$H$161:$H$164,'Div 3'!$H$166:$H$169,'Div 3'!$H$171:$H$175,'Div 3'!$H$177:$H$178,'Div 3'!$H$180:$H$188,'Div 3'!$H$190:$H$191,'Div 3'!$H$193,'Div 3'!$H$195:$H$197,'Div 3'!$H$199</definedName>
    <definedName name="OSRRefH22x_0" localSheetId="70">'Div 4'!$H$30:$H$39,'Div 4'!$H$41:$H$50,'Div 4'!$H$52,'Div 4'!$H$54,'Div 4'!$H$56,'Div 4'!$H$58:$H$60,'Div 4'!$H$62,'Div 4'!$H$64,'Div 4'!$H$66,'Div 4'!$H$68,'Div 4'!$H$70,'Div 4'!$H$72,'Div 4'!$H$74,'Div 4'!$H$76,'Div 4'!$H$78:$H$80,'Div 4'!$H$82:$H$83,'Div 4'!$H$85:$H$89,'Div 4'!$H$91,'Div 4'!$H$93:$H$103,'Div 4'!$H$105:$H$106,'Div 4'!$H$108,'Div 4'!$H$110:$H$111,'Div 4'!$H$113</definedName>
    <definedName name="OSRRefH22x_0" localSheetId="92">'Div 5'!$H$21:$H$30,'Div 5'!$H$32:$H$41,'Div 5'!$H$43,'Div 5'!$H$45,'Div 5'!$H$47,'Div 5'!$H$49:$H$50,'Div 5'!$H$52,'Div 5'!$H$54,'Div 5'!$H$56,'Div 5'!$H$58:$H$59,'Div 5'!$H$61:$H$62,'Div 5'!$H$64</definedName>
    <definedName name="OSRRefH22x_0" localSheetId="61">'Div 6'!$H$47:$H$56,'Div 6'!$H$58:$H$67,'Div 6'!$H$69,'Div 6'!$H$71,'Div 6'!$H$73,'Div 6'!$H$75,'Div 6'!$H$77:$H$78,'Div 6'!$H$80,'Div 6'!$H$82,'Div 6'!$H$84,'Div 6'!$H$86:$H$88,'Div 6'!$H$90</definedName>
    <definedName name="OSRRefH22x_0" localSheetId="2">Summary!$H$129:$H$138,Summary!$H$140:$H$149,Summary!$H$151,Summary!$H$153:$H$154,Summary!$H$156,Summary!$H$158:$H$160,Summary!$H$162,Summary!$H$164:$H$165,Summary!$H$167,Summary!$H$169,Summary!$H$171:$H$172,Summary!$H$174:$H$176,Summary!$H$178,Summary!$H$180,Summary!$H$182,Summary!$H$184,Summary!$H$186,Summary!$H$188,Summary!$H$190:$H$193,Summary!$H$195:$H$198,Summary!$H$200:$H$204,Summary!$H$206:$H$207,Summary!$H$209:$H$219,Summary!$H$221:$H$222,Summary!$H$224,Summary!$H$226:$H$228,Summary!$H$230</definedName>
    <definedName name="OSRRefH25x_0" localSheetId="42">'202'!$H$69:$H$71</definedName>
    <definedName name="OSRRefH25x_0" localSheetId="48">'300'!$H$195:$H$198</definedName>
    <definedName name="OSRRefH25x_0" localSheetId="49">'300 &amp; 317'!$H$217:$H$221</definedName>
    <definedName name="OSRRefH25x_0" localSheetId="50">'301'!$H$92:$H$93</definedName>
    <definedName name="OSRRefH25x_0" localSheetId="53">'308'!$H$102:$H$104</definedName>
    <definedName name="OSRRefH25x_0" localSheetId="71">'310 &amp; 491'!$H$114:$H$116</definedName>
    <definedName name="OSRRefH25x_0" localSheetId="54">'311'!$H$101:$H$103</definedName>
    <definedName name="OSRRefH25x_0" localSheetId="57">'315'!$H$131:$H$133</definedName>
    <definedName name="OSRRefH25x_0" localSheetId="60">'316'!$H$76</definedName>
    <definedName name="OSRRefH25x_0" localSheetId="62">'317'!$H$93:$H$94</definedName>
    <definedName name="OSRRefH25x_0" localSheetId="56">'331'!$H$149:$H$151</definedName>
    <definedName name="OSRRefH25x_0" localSheetId="59">'332'!$H$76</definedName>
    <definedName name="OSRRefH25x_0" localSheetId="75">'411'!$H$75:$H$76</definedName>
    <definedName name="OSRRefH25x_0" localSheetId="81">'418'!$H$82</definedName>
    <definedName name="OSRRefH25x_0" localSheetId="82">'423'!$H$52</definedName>
    <definedName name="OSRRefH25x_0" localSheetId="85">'455'!$H$21:$H$22</definedName>
    <definedName name="OSRRefH25x_0" localSheetId="72">'491'!$H$109:$H$111</definedName>
    <definedName name="OSRRefH25x_0" localSheetId="93">'501'!$H$67</definedName>
    <definedName name="OSRRefH25x_0" localSheetId="39">'Div 2'!$H$98:$H$100</definedName>
    <definedName name="OSRRefH25x_0" localSheetId="47">'Div 3'!$H$202:$H$205</definedName>
    <definedName name="OSRRefH25x_0" localSheetId="70">'Div 4'!$H$116:$H$118</definedName>
    <definedName name="OSRRefH25x_0" localSheetId="92">'Div 5'!$H$67</definedName>
    <definedName name="OSRRefH25x_0" localSheetId="61">'Div 6'!$H$93:$H$94</definedName>
    <definedName name="OSRRefH25x_0" localSheetId="2">Summary!$H$233:$H$239</definedName>
    <definedName name="OSRRefP13x_0" localSheetId="41">'201'!$P$13</definedName>
    <definedName name="OSRRefP13x_0" localSheetId="42">'202'!$P$13</definedName>
    <definedName name="OSRRefP13x_0" localSheetId="48">'300'!$P$13:$P$69</definedName>
    <definedName name="OSRRefP13x_0" localSheetId="49">'300 &amp; 317'!$P$13:$P$84</definedName>
    <definedName name="OSRRefP13x_0" localSheetId="52">'307'!$P$13:$P$20</definedName>
    <definedName name="OSRRefP13x_0" localSheetId="53">'308'!$P$13:$P$31</definedName>
    <definedName name="OSRRefP13x_0" localSheetId="64">'309'!$P$13</definedName>
    <definedName name="OSRRefP13x_0" localSheetId="63">'310'!$P$13:$P$16</definedName>
    <definedName name="OSRRefP13x_0" localSheetId="71">'310 &amp; 491'!$P$13:$P$20</definedName>
    <definedName name="OSRRefP13x_0" localSheetId="54">'311'!$P$13:$P$30</definedName>
    <definedName name="OSRRefP13x_0" localSheetId="65">'313'!$P$13</definedName>
    <definedName name="OSRRefP13x_0" localSheetId="57">'315'!$P$13:$P$48</definedName>
    <definedName name="OSRRefP13x_0" localSheetId="60">'316'!$P$13:$P$22</definedName>
    <definedName name="OSRRefP13x_0" localSheetId="62">'317'!$P$13:$P$29</definedName>
    <definedName name="OSRRefP13x_0" localSheetId="66">'321'!$P$13:$P$15</definedName>
    <definedName name="OSRRefP13x_0" localSheetId="55">'324'!$P$13:$P$16</definedName>
    <definedName name="OSRRefP13x_0" localSheetId="58">'326'!$P$13:$P$29</definedName>
    <definedName name="OSRRefP13x_0" localSheetId="69">'327'!$P$13:$P$14</definedName>
    <definedName name="OSRRefP13x_0" localSheetId="51">'330'!$P$13:$P$20</definedName>
    <definedName name="OSRRefP13x_0" localSheetId="56">'331'!$P$13:$P$48</definedName>
    <definedName name="OSRRefP13x_0" localSheetId="59">'332'!$P$13:$P$22</definedName>
    <definedName name="OSRRefP13x_0" localSheetId="73">'405'!$P$13:$P$14</definedName>
    <definedName name="OSRRefP13x_0" localSheetId="76">'412'!$P$13</definedName>
    <definedName name="OSRRefP13x_0" localSheetId="78">'413'!$P$13:$P$14</definedName>
    <definedName name="OSRRefP13x_0" localSheetId="79">'414'!$P$13:$P$15</definedName>
    <definedName name="OSRRefP13x_0" localSheetId="80">'415'!$P$13:$P$16</definedName>
    <definedName name="OSRRefP13x_0" localSheetId="81">'418'!$P$13:$P$14</definedName>
    <definedName name="OSRRefP13x_0" localSheetId="88">'433'!$P$13:$P$16</definedName>
    <definedName name="OSRRefP13x_0" localSheetId="90">'444'!$P$13:$P$16</definedName>
    <definedName name="OSRRefP13x_0" localSheetId="91">'450'!$P$13</definedName>
    <definedName name="OSRRefP13x_0" localSheetId="72">'491'!$P$13:$P$17</definedName>
    <definedName name="OSRRefP13x_0" localSheetId="86">'492'!$P$13:$P$16</definedName>
    <definedName name="OSRRefP13x_0" localSheetId="93">'501'!$P$13</definedName>
    <definedName name="OSRRefP13x_0" localSheetId="39">'Div 2'!$P$13</definedName>
    <definedName name="OSRRefP13x_0" localSheetId="47">'Div 3'!$P$13:$P$71</definedName>
    <definedName name="OSRRefP13x_0" localSheetId="70">'Div 4'!$P$13:$P$19</definedName>
    <definedName name="OSRRefP13x_0" localSheetId="92">'Div 5'!$P$13</definedName>
    <definedName name="OSRRefP13x_0" localSheetId="61">'Div 6'!$P$13:$P$29</definedName>
    <definedName name="OSRRefP13x_0" localSheetId="2">Summary!$P$13:$P$90</definedName>
    <definedName name="OSRRefP16x_0" localSheetId="48">'300'!$P$72:$P$93</definedName>
    <definedName name="OSRRefP16x_0" localSheetId="49">'300 &amp; 317'!$P$87:$P$115</definedName>
    <definedName name="OSRRefP16x_0" localSheetId="52">'307'!$P$23:$P$25</definedName>
    <definedName name="OSRRefP16x_0" localSheetId="53">'308'!$P$34:$P$44</definedName>
    <definedName name="OSRRefP16x_0" localSheetId="63">'310'!$P$19:$P$21</definedName>
    <definedName name="OSRRefP16x_0" localSheetId="71">'310 &amp; 491'!$P$23:$P$25</definedName>
    <definedName name="OSRRefP16x_0" localSheetId="54">'311'!$P$33:$P$43</definedName>
    <definedName name="OSRRefP16x_0" localSheetId="65">'313'!$P$16:$P$17</definedName>
    <definedName name="OSRRefP16x_0" localSheetId="57">'315'!$P$51:$P$63</definedName>
    <definedName name="OSRRefP16x_0" localSheetId="62">'317'!$P$32:$P$41</definedName>
    <definedName name="OSRRefP16x_0" localSheetId="66">'321'!$P$18:$P$19</definedName>
    <definedName name="OSRRefP16x_0" localSheetId="67">'322'!$P$15</definedName>
    <definedName name="OSRRefP16x_0" localSheetId="55">'324'!$P$19:$P$21</definedName>
    <definedName name="OSRRefP16x_0" localSheetId="68">'325'!$P$15</definedName>
    <definedName name="OSRRefP16x_0" localSheetId="58">'326'!$P$32:$P$33</definedName>
    <definedName name="OSRRefP16x_0" localSheetId="69">'327'!$P$17:$P$18</definedName>
    <definedName name="OSRRefP16x_0" localSheetId="51">'330'!$P$23:$P$25</definedName>
    <definedName name="OSRRefP16x_0" localSheetId="56">'331'!$P$51:$P$63</definedName>
    <definedName name="OSRRefP16x_0" localSheetId="73">'405'!$P$17</definedName>
    <definedName name="OSRRefP16x_0" localSheetId="76">'412'!$P$16</definedName>
    <definedName name="OSRRefP16x_0" localSheetId="78">'413'!$P$17</definedName>
    <definedName name="OSRRefP16x_0" localSheetId="79">'414'!$P$18</definedName>
    <definedName name="OSRRefP16x_0" localSheetId="80">'415'!$P$19:$P$21</definedName>
    <definedName name="OSRRefP16x_0" localSheetId="81">'418'!$P$17</definedName>
    <definedName name="OSRRefP16x_0" localSheetId="88">'433'!$P$19:$P$21</definedName>
    <definedName name="OSRRefP16x_0" localSheetId="90">'444'!$P$19:$P$21</definedName>
    <definedName name="OSRRefP16x_0" localSheetId="91">'450'!$P$16</definedName>
    <definedName name="OSRRefP16x_0" localSheetId="72">'491'!$P$20:$P$22</definedName>
    <definedName name="OSRRefP16x_0" localSheetId="86">'492'!$P$19:$P$21</definedName>
    <definedName name="OSRRefP16x_0" localSheetId="47">'Div 3'!$P$74:$P$97</definedName>
    <definedName name="OSRRefP16x_0" localSheetId="70">'Div 4'!$P$22:$P$24</definedName>
    <definedName name="OSRRefP16x_0" localSheetId="61">'Div 6'!$P$32:$P$41</definedName>
    <definedName name="OSRRefP16x_0" localSheetId="2">Summary!$P$93:$P$123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'300'!$P$99:$P$108</definedName>
    <definedName name="OSRRefP22_0x_0" localSheetId="49">'300 &amp; 317'!$P$121:$P$130</definedName>
    <definedName name="OSRRefP22_0x_0" localSheetId="50">'301'!$P$20:$P$28</definedName>
    <definedName name="OSRRefP22_0x_0" localSheetId="52">'307'!$P$31:$P$38</definedName>
    <definedName name="OSRRefP22_0x_0" localSheetId="53">'308'!$P$50:$P$59</definedName>
    <definedName name="OSRRefP22_0x_0" localSheetId="64">'309'!$P$21:$P$28</definedName>
    <definedName name="OSRRefP22_0x_0" localSheetId="63">'310'!$P$27:$P$35</definedName>
    <definedName name="OSRRefP22_0x_0" localSheetId="71">'310 &amp; 491'!$P$31:$P$39</definedName>
    <definedName name="OSRRefP22_0x_0" localSheetId="54">'311'!$P$49:$P$58</definedName>
    <definedName name="OSRRefP22_0x_0" localSheetId="65">'313'!$P$23:$P$31</definedName>
    <definedName name="OSRRefP22_0x_0" localSheetId="57">'315'!$P$69:$P$77</definedName>
    <definedName name="OSRRefP22_0x_0" localSheetId="60">'316'!$P$30:$P$38</definedName>
    <definedName name="OSRRefP22_0x_0" localSheetId="62">'317'!$P$47:$P$56</definedName>
    <definedName name="OSRRefP22_0x_0" localSheetId="66">'321'!$P$25:$P$33</definedName>
    <definedName name="OSRRefP22_0x_0" localSheetId="67">'322'!$P$21:$P$28</definedName>
    <definedName name="OSRRefP22_0x_0" localSheetId="55">'324'!$P$27:$P$34</definedName>
    <definedName name="OSRRefP22_0x_0" localSheetId="68">'325'!$P$21:$P$28</definedName>
    <definedName name="OSRRefP22_0x_0" localSheetId="58">'326'!$P$39:$P$47</definedName>
    <definedName name="OSRRefP22_0x_0" localSheetId="69">'327'!$P$24</definedName>
    <definedName name="OSRRefP22_0x_0" localSheetId="51">'330'!$P$31:$P$38</definedName>
    <definedName name="OSRRefP22_0x_0" localSheetId="56">'331'!$P$69:$P$77</definedName>
    <definedName name="OSRRefP22_0x_0" localSheetId="59">'332'!$P$30:$P$38</definedName>
    <definedName name="OSRRefP22_0x_0" localSheetId="73">'405'!$P$23:$P$30</definedName>
    <definedName name="OSRRefP22_0x_0" localSheetId="74">'406'!$P$20</definedName>
    <definedName name="OSRRefP22_0x_0" localSheetId="75">'411'!$P$20:$P$28</definedName>
    <definedName name="OSRRefP22_0x_0" localSheetId="76">'412'!$P$22:$P$29</definedName>
    <definedName name="OSRRefP22_0x_0" localSheetId="78">'413'!$P$23:$P$31</definedName>
    <definedName name="OSRRefP22_0x_0" localSheetId="79">'414'!$P$24:$P$32</definedName>
    <definedName name="OSRRefP22_0x_0" localSheetId="80">'415'!$P$27:$P$35</definedName>
    <definedName name="OSRRefP22_0x_0" localSheetId="81">'418'!$P$23:$P$30</definedName>
    <definedName name="OSRRefP22_0x_0" localSheetId="82">'423'!$P$20:$P$27</definedName>
    <definedName name="OSRRefP22_0x_0" localSheetId="83">'424'!$P$20</definedName>
    <definedName name="OSRRefP22_0x_0" localSheetId="84">'425'!$P$20:$P$24</definedName>
    <definedName name="OSRRefP22_0x_0" localSheetId="87">'430'!$P$20:$P$28</definedName>
    <definedName name="OSRRefP22_0x_0" localSheetId="88">'433'!$P$27:$P$36</definedName>
    <definedName name="OSRRefP22_0x_0" localSheetId="89">'435'!$P$20</definedName>
    <definedName name="OSRRefP22_0x_0" localSheetId="90">'444'!$P$27:$P$36</definedName>
    <definedName name="OSRRefP22_0x_0" localSheetId="91">'450'!$P$22:$P$31</definedName>
    <definedName name="OSRRefP22_0x_0" localSheetId="72">'491'!$P$28:$P$36</definedName>
    <definedName name="OSRRefP22_0x_0" localSheetId="86">'492'!$P$27:$P$36</definedName>
    <definedName name="OSRRefP22_0x_0" localSheetId="93">'501'!$P$21:$P$30</definedName>
    <definedName name="OSRRefP22_0x_0" localSheetId="39">'Div 2'!$P$21:$P$31</definedName>
    <definedName name="OSRRefP22_0x_0" localSheetId="47">'Div 3'!$P$103:$P$112</definedName>
    <definedName name="OSRRefP22_0x_0" localSheetId="70">'Div 4'!$P$30:$P$39</definedName>
    <definedName name="OSRRefP22_0x_0" localSheetId="92">'Div 5'!$P$21:$P$30</definedName>
    <definedName name="OSRRefP22_0x_0" localSheetId="61">'Div 6'!$P$47:$P$56</definedName>
    <definedName name="OSRRefP22_0x_0" localSheetId="2">Summary!$P$129:$P$138</definedName>
    <definedName name="OSRRefP22_10x_0" localSheetId="41">'201'!$P$58</definedName>
    <definedName name="OSRRefP22_10x_0" localSheetId="42">'202'!$P$62</definedName>
    <definedName name="OSRRefP22_10x_0" localSheetId="43">'203'!$P$61</definedName>
    <definedName name="OSRRefP22_10x_0" localSheetId="44">'204'!$P$63</definedName>
    <definedName name="OSRRefP22_10x_0" localSheetId="48">'300'!$P$140:$P$141</definedName>
    <definedName name="OSRRefP22_10x_0" localSheetId="49">'300 &amp; 317'!$P$162:$P$163</definedName>
    <definedName name="OSRRefP22_10x_0" localSheetId="50">'301'!$P$59</definedName>
    <definedName name="OSRRefP22_10x_0" localSheetId="52">'307'!$P$68:$P$69</definedName>
    <definedName name="OSRRefP22_10x_0" localSheetId="53">'308'!$P$90</definedName>
    <definedName name="OSRRefP22_10x_0" localSheetId="63">'310'!$P$65</definedName>
    <definedName name="OSRRefP22_10x_0" localSheetId="71">'310 &amp; 491'!$P$70</definedName>
    <definedName name="OSRRefP22_10x_0" localSheetId="54">'311'!$P$89</definedName>
    <definedName name="OSRRefP22_10x_0" localSheetId="65">'313'!$P$63</definedName>
    <definedName name="OSRRefP22_10x_0" localSheetId="57">'315'!$P$107</definedName>
    <definedName name="OSRRefP22_10x_0" localSheetId="60">'316'!$P$71</definedName>
    <definedName name="OSRRefP22_10x_0" localSheetId="62">'317'!$P$86:$P$88</definedName>
    <definedName name="OSRRefP22_10x_0" localSheetId="66">'321'!$P$63:$P$65</definedName>
    <definedName name="OSRRefP22_10x_0" localSheetId="67">'322'!$P$62</definedName>
    <definedName name="OSRRefP22_10x_0" localSheetId="68">'325'!$P$59:$P$61</definedName>
    <definedName name="OSRRefP22_10x_0" localSheetId="58">'326'!$P$77</definedName>
    <definedName name="OSRRefP22_10x_0" localSheetId="51">'330'!$P$68:$P$69</definedName>
    <definedName name="OSRRefP22_10x_0" localSheetId="56">'331'!$P$108</definedName>
    <definedName name="OSRRefP22_10x_0" localSheetId="59">'332'!$P$71</definedName>
    <definedName name="OSRRefP22_10x_0" localSheetId="73">'405'!$P$64</definedName>
    <definedName name="OSRRefP22_10x_0" localSheetId="75">'411'!$P$68</definedName>
    <definedName name="OSRRefP22_10x_0" localSheetId="76">'412'!$P$60:$P$63</definedName>
    <definedName name="OSRRefP22_10x_0" localSheetId="78">'413'!$P$69:$P$70</definedName>
    <definedName name="OSRRefP22_10x_0" localSheetId="79">'414'!$P$61</definedName>
    <definedName name="OSRRefP22_10x_0" localSheetId="80">'415'!$P$65:$P$66</definedName>
    <definedName name="OSRRefP22_10x_0" localSheetId="81">'418'!$P$63</definedName>
    <definedName name="OSRRefP22_10x_0" localSheetId="88">'433'!$P$65</definedName>
    <definedName name="OSRRefP22_10x_0" localSheetId="90">'444'!$P$65</definedName>
    <definedName name="OSRRefP22_10x_0" localSheetId="91">'450'!$P$60</definedName>
    <definedName name="OSRRefP22_10x_0" localSheetId="72">'491'!$P$67</definedName>
    <definedName name="OSRRefP22_10x_0" localSheetId="86">'492'!$P$65</definedName>
    <definedName name="OSRRefP22_10x_0" localSheetId="93">'501'!$P$61:$P$62</definedName>
    <definedName name="OSRRefP22_10x_0" localSheetId="39">'Div 2'!$P$62</definedName>
    <definedName name="OSRRefP22_10x_0" localSheetId="47">'Div 3'!$P$144:$P$145</definedName>
    <definedName name="OSRRefP22_10x_0" localSheetId="70">'Div 4'!$P$70</definedName>
    <definedName name="OSRRefP22_10x_0" localSheetId="92">'Div 5'!$P$61:$P$62</definedName>
    <definedName name="OSRRefP22_10x_0" localSheetId="61">'Div 6'!$P$86:$P$88</definedName>
    <definedName name="OSRRefP22_10x_0" localSheetId="2">Summary!$P$171:$P$172</definedName>
    <definedName name="OSRRefP22_11x_0" localSheetId="41">'201'!$P$60:$P$62</definedName>
    <definedName name="OSRRefP22_11x_0" localSheetId="42">'202'!$P$64</definedName>
    <definedName name="OSRRefP22_11x_0" localSheetId="43">'203'!$P$63:$P$65</definedName>
    <definedName name="OSRRefP22_11x_0" localSheetId="48">'300'!$P$143:$P$145</definedName>
    <definedName name="OSRRefP22_11x_0" localSheetId="49">'300 &amp; 317'!$P$165:$P$167</definedName>
    <definedName name="OSRRefP22_11x_0" localSheetId="50">'301'!$P$61</definedName>
    <definedName name="OSRRefP22_11x_0" localSheetId="52">'307'!$P$71:$P$74</definedName>
    <definedName name="OSRRefP22_11x_0" localSheetId="53">'308'!$P$92:$P$94</definedName>
    <definedName name="OSRRefP22_11x_0" localSheetId="63">'310'!$P$67:$P$68</definedName>
    <definedName name="OSRRefP22_11x_0" localSheetId="71">'310 &amp; 491'!$P$72</definedName>
    <definedName name="OSRRefP22_11x_0" localSheetId="54">'311'!$P$91:$P$93</definedName>
    <definedName name="OSRRefP22_11x_0" localSheetId="57">'315'!$P$109</definedName>
    <definedName name="OSRRefP22_11x_0" localSheetId="60">'316'!$P$73</definedName>
    <definedName name="OSRRefP22_11x_0" localSheetId="62">'317'!$P$90</definedName>
    <definedName name="OSRRefP22_11x_0" localSheetId="66">'321'!$P$67:$P$68</definedName>
    <definedName name="OSRRefP22_11x_0" localSheetId="67">'322'!$P$64</definedName>
    <definedName name="OSRRefP22_11x_0" localSheetId="68">'325'!$P$63</definedName>
    <definedName name="OSRRefP22_11x_0" localSheetId="58">'326'!$P$79</definedName>
    <definedName name="OSRRefP22_11x_0" localSheetId="51">'330'!$P$71:$P$74</definedName>
    <definedName name="OSRRefP22_11x_0" localSheetId="56">'331'!$P$110</definedName>
    <definedName name="OSRRefP22_11x_0" localSheetId="59">'332'!$P$73</definedName>
    <definedName name="OSRRefP22_11x_0" localSheetId="73">'405'!$P$66:$P$74</definedName>
    <definedName name="OSRRefP22_11x_0" localSheetId="75">'411'!$P$70</definedName>
    <definedName name="OSRRefP22_11x_0" localSheetId="76">'412'!$P$65:$P$69</definedName>
    <definedName name="OSRRefP22_11x_0" localSheetId="79">'414'!$P$63:$P$65</definedName>
    <definedName name="OSRRefP22_11x_0" localSheetId="80">'415'!$P$68:$P$72</definedName>
    <definedName name="OSRRefP22_11x_0" localSheetId="81">'418'!$P$65:$P$74</definedName>
    <definedName name="OSRRefP22_11x_0" localSheetId="88">'433'!$P$67:$P$68</definedName>
    <definedName name="OSRRefP22_11x_0" localSheetId="90">'444'!$P$67:$P$69</definedName>
    <definedName name="OSRRefP22_11x_0" localSheetId="91">'450'!$P$62</definedName>
    <definedName name="OSRRefP22_11x_0" localSheetId="72">'491'!$P$69</definedName>
    <definedName name="OSRRefP22_11x_0" localSheetId="86">'492'!$P$67</definedName>
    <definedName name="OSRRefP22_11x_0" localSheetId="93">'501'!$P$64</definedName>
    <definedName name="OSRRefP22_11x_0" localSheetId="39">'Div 2'!$P$64:$P$65</definedName>
    <definedName name="OSRRefP22_11x_0" localSheetId="47">'Div 3'!$P$147:$P$149</definedName>
    <definedName name="OSRRefP22_11x_0" localSheetId="70">'Div 4'!$P$72</definedName>
    <definedName name="OSRRefP22_11x_0" localSheetId="92">'Div 5'!$P$64</definedName>
    <definedName name="OSRRefP22_11x_0" localSheetId="61">'Div 6'!$P$90</definedName>
    <definedName name="OSRRefP22_11x_0" localSheetId="2">Summary!$P$174:$P$176</definedName>
    <definedName name="OSRRefP22_12x_0" localSheetId="41">'201'!$P$64</definedName>
    <definedName name="OSRRefP22_12x_0" localSheetId="42">'202'!$P$66</definedName>
    <definedName name="OSRRefP22_12x_0" localSheetId="43">'203'!$P$67</definedName>
    <definedName name="OSRRefP22_12x_0" localSheetId="48">'300'!$P$147</definedName>
    <definedName name="OSRRefP22_12x_0" localSheetId="49">'300 &amp; 317'!$P$169</definedName>
    <definedName name="OSRRefP22_12x_0" localSheetId="50">'301'!$P$63</definedName>
    <definedName name="OSRRefP22_12x_0" localSheetId="52">'307'!$P$76:$P$77</definedName>
    <definedName name="OSRRefP22_12x_0" localSheetId="53">'308'!$P$96:$P$97</definedName>
    <definedName name="OSRRefP22_12x_0" localSheetId="63">'310'!$P$70</definedName>
    <definedName name="OSRRefP22_12x_0" localSheetId="71">'310 &amp; 491'!$P$74</definedName>
    <definedName name="OSRRefP22_12x_0" localSheetId="54">'311'!$P$95:$P$96</definedName>
    <definedName name="OSRRefP22_12x_0" localSheetId="57">'315'!$P$111:$P$113</definedName>
    <definedName name="OSRRefP22_12x_0" localSheetId="66">'321'!$P$70</definedName>
    <definedName name="OSRRefP22_12x_0" localSheetId="68">'325'!$P$65:$P$67</definedName>
    <definedName name="OSRRefP22_12x_0" localSheetId="58">'326'!$P$81</definedName>
    <definedName name="OSRRefP22_12x_0" localSheetId="51">'330'!$P$76:$P$77</definedName>
    <definedName name="OSRRefP22_12x_0" localSheetId="56">'331'!$P$112</definedName>
    <definedName name="OSRRefP22_12x_0" localSheetId="73">'405'!$P$76</definedName>
    <definedName name="OSRRefP22_12x_0" localSheetId="75">'411'!$P$72</definedName>
    <definedName name="OSRRefP22_12x_0" localSheetId="76">'412'!$P$71:$P$72</definedName>
    <definedName name="OSRRefP22_12x_0" localSheetId="79">'414'!$P$67</definedName>
    <definedName name="OSRRefP22_12x_0" localSheetId="80">'415'!$P$74</definedName>
    <definedName name="OSRRefP22_12x_0" localSheetId="81">'418'!$P$76:$P$77</definedName>
    <definedName name="OSRRefP22_12x_0" localSheetId="88">'433'!$P$70:$P$73</definedName>
    <definedName name="OSRRefP22_12x_0" localSheetId="90">'444'!$P$71:$P$73</definedName>
    <definedName name="OSRRefP22_12x_0" localSheetId="91">'450'!$P$64</definedName>
    <definedName name="OSRRefP22_12x_0" localSheetId="72">'491'!$P$71:$P$73</definedName>
    <definedName name="OSRRefP22_12x_0" localSheetId="86">'492'!$P$69:$P$71</definedName>
    <definedName name="OSRRefP22_12x_0" localSheetId="39">'Div 2'!$P$67:$P$70</definedName>
    <definedName name="OSRRefP22_12x_0" localSheetId="47">'Div 3'!$P$151</definedName>
    <definedName name="OSRRefP22_12x_0" localSheetId="70">'Div 4'!$P$74</definedName>
    <definedName name="OSRRefP22_12x_0" localSheetId="2">Summary!$P$178</definedName>
    <definedName name="OSRRefP22_13x_0" localSheetId="43">'203'!$P$69</definedName>
    <definedName name="OSRRefP22_13x_0" localSheetId="48">'300'!$P$149</definedName>
    <definedName name="OSRRefP22_13x_0" localSheetId="49">'300 &amp; 317'!$P$171</definedName>
    <definedName name="OSRRefP22_13x_0" localSheetId="50">'301'!$P$65:$P$68</definedName>
    <definedName name="OSRRefP22_13x_0" localSheetId="52">'307'!$P$79</definedName>
    <definedName name="OSRRefP22_13x_0" localSheetId="53">'308'!$P$99</definedName>
    <definedName name="OSRRefP22_13x_0" localSheetId="63">'310'!$P$72:$P$75</definedName>
    <definedName name="OSRRefP22_13x_0" localSheetId="71">'310 &amp; 491'!$P$76:$P$78</definedName>
    <definedName name="OSRRefP22_13x_0" localSheetId="54">'311'!$P$98</definedName>
    <definedName name="OSRRefP22_13x_0" localSheetId="57">'315'!$P$115</definedName>
    <definedName name="OSRRefP22_13x_0" localSheetId="66">'321'!$P$72</definedName>
    <definedName name="OSRRefP22_13x_0" localSheetId="68">'325'!$P$69:$P$70</definedName>
    <definedName name="OSRRefP22_13x_0" localSheetId="58">'326'!$P$83</definedName>
    <definedName name="OSRRefP22_13x_0" localSheetId="51">'330'!$P$79</definedName>
    <definedName name="OSRRefP22_13x_0" localSheetId="56">'331'!$P$114</definedName>
    <definedName name="OSRRefP22_13x_0" localSheetId="73">'405'!$P$78</definedName>
    <definedName name="OSRRefP22_13x_0" localSheetId="76">'412'!$P$74</definedName>
    <definedName name="OSRRefP22_13x_0" localSheetId="79">'414'!$P$69</definedName>
    <definedName name="OSRRefP22_13x_0" localSheetId="80">'415'!$P$76:$P$82</definedName>
    <definedName name="OSRRefP22_13x_0" localSheetId="81">'418'!$P$79</definedName>
    <definedName name="OSRRefP22_13x_0" localSheetId="88">'433'!$P$75:$P$82</definedName>
    <definedName name="OSRRefP22_13x_0" localSheetId="90">'444'!$P$75:$P$83</definedName>
    <definedName name="OSRRefP22_13x_0" localSheetId="91">'450'!$P$66:$P$68</definedName>
    <definedName name="OSRRefP22_13x_0" localSheetId="72">'491'!$P$75:$P$76</definedName>
    <definedName name="OSRRefP22_13x_0" localSheetId="86">'492'!$P$73:$P$76</definedName>
    <definedName name="OSRRefP22_13x_0" localSheetId="39">'Div 2'!$P$72:$P$75</definedName>
    <definedName name="OSRRefP22_13x_0" localSheetId="47">'Div 3'!$P$153</definedName>
    <definedName name="OSRRefP22_13x_0" localSheetId="70">'Div 4'!$P$76</definedName>
    <definedName name="OSRRefP22_13x_0" localSheetId="2">Summary!$P$180</definedName>
    <definedName name="OSRRefP22_14x_0" localSheetId="48">'300'!$P$151</definedName>
    <definedName name="OSRRefP22_14x_0" localSheetId="49">'300 &amp; 317'!$P$173</definedName>
    <definedName name="OSRRefP22_14x_0" localSheetId="50">'301'!$P$70:$P$72</definedName>
    <definedName name="OSRRefP22_14x_0" localSheetId="63">'310'!$P$77</definedName>
    <definedName name="OSRRefP22_14x_0" localSheetId="71">'310 &amp; 491'!$P$80:$P$81</definedName>
    <definedName name="OSRRefP22_14x_0" localSheetId="57">'315'!$P$117:$P$123</definedName>
    <definedName name="OSRRefP22_14x_0" localSheetId="68">'325'!$P$72</definedName>
    <definedName name="OSRRefP22_14x_0" localSheetId="58">'326'!$P$85:$P$87</definedName>
    <definedName name="OSRRefP22_14x_0" localSheetId="56">'331'!$P$116</definedName>
    <definedName name="OSRRefP22_14x_0" localSheetId="73">'405'!$P$80</definedName>
    <definedName name="OSRRefP22_14x_0" localSheetId="79">'414'!$P$71</definedName>
    <definedName name="OSRRefP22_14x_0" localSheetId="80">'415'!$P$84:$P$85</definedName>
    <definedName name="OSRRefP22_14x_0" localSheetId="88">'433'!$P$84</definedName>
    <definedName name="OSRRefP22_14x_0" localSheetId="90">'444'!$P$85:$P$86</definedName>
    <definedName name="OSRRefP22_14x_0" localSheetId="91">'450'!$P$70:$P$75</definedName>
    <definedName name="OSRRefP22_14x_0" localSheetId="72">'491'!$P$78:$P$82</definedName>
    <definedName name="OSRRefP22_14x_0" localSheetId="86">'492'!$P$78:$P$87</definedName>
    <definedName name="OSRRefP22_14x_0" localSheetId="39">'Div 2'!$P$77:$P$78</definedName>
    <definedName name="OSRRefP22_14x_0" localSheetId="47">'Div 3'!$P$155</definedName>
    <definedName name="OSRRefP22_14x_0" localSheetId="70">'Div 4'!$P$78:$P$80</definedName>
    <definedName name="OSRRefP22_14x_0" localSheetId="2">Summary!$P$182</definedName>
    <definedName name="OSRRefP22_15x_0" localSheetId="48">'300'!$P$153</definedName>
    <definedName name="OSRRefP22_15x_0" localSheetId="49">'300 &amp; 317'!$P$175</definedName>
    <definedName name="OSRRefP22_15x_0" localSheetId="50">'301'!$P$74</definedName>
    <definedName name="OSRRefP22_15x_0" localSheetId="63">'310'!$P$79:$P$83</definedName>
    <definedName name="OSRRefP22_15x_0" localSheetId="71">'310 &amp; 491'!$P$83:$P$87</definedName>
    <definedName name="OSRRefP22_15x_0" localSheetId="57">'315'!$P$125</definedName>
    <definedName name="OSRRefP22_15x_0" localSheetId="58">'326'!$P$89:$P$90</definedName>
    <definedName name="OSRRefP22_15x_0" localSheetId="56">'331'!$P$118:$P$120</definedName>
    <definedName name="OSRRefP22_15x_0" localSheetId="80">'415'!$P$87</definedName>
    <definedName name="OSRRefP22_15x_0" localSheetId="90">'444'!$P$88</definedName>
    <definedName name="OSRRefP22_15x_0" localSheetId="91">'450'!$P$77:$P$78</definedName>
    <definedName name="OSRRefP22_15x_0" localSheetId="72">'491'!$P$84</definedName>
    <definedName name="OSRRefP22_15x_0" localSheetId="86">'492'!$P$89:$P$90</definedName>
    <definedName name="OSRRefP22_15x_0" localSheetId="39">'Div 2'!$P$80:$P$81</definedName>
    <definedName name="OSRRefP22_15x_0" localSheetId="47">'Div 3'!$P$157</definedName>
    <definedName name="OSRRefP22_15x_0" localSheetId="70">'Div 4'!$P$82:$P$83</definedName>
    <definedName name="OSRRefP22_15x_0" localSheetId="2">Summary!$P$184</definedName>
    <definedName name="OSRRefP22_16x_0" localSheetId="48">'300'!$P$155:$P$158</definedName>
    <definedName name="OSRRefP22_16x_0" localSheetId="49">'300 &amp; 317'!$P$177:$P$180</definedName>
    <definedName name="OSRRefP22_16x_0" localSheetId="50">'301'!$P$76:$P$81</definedName>
    <definedName name="OSRRefP22_16x_0" localSheetId="63">'310'!$P$85:$P$86</definedName>
    <definedName name="OSRRefP22_16x_0" localSheetId="71">'310 &amp; 491'!$P$89</definedName>
    <definedName name="OSRRefP22_16x_0" localSheetId="57">'315'!$P$127:$P$128</definedName>
    <definedName name="OSRRefP22_16x_0" localSheetId="58">'326'!$P$92:$P$97</definedName>
    <definedName name="OSRRefP22_16x_0" localSheetId="56">'331'!$P$122:$P$124</definedName>
    <definedName name="OSRRefP22_16x_0" localSheetId="91">'450'!$P$80</definedName>
    <definedName name="OSRRefP22_16x_0" localSheetId="72">'491'!$P$86:$P$96</definedName>
    <definedName name="OSRRefP22_16x_0" localSheetId="86">'492'!$P$92</definedName>
    <definedName name="OSRRefP22_16x_0" localSheetId="39">'Div 2'!$P$83:$P$87</definedName>
    <definedName name="OSRRefP22_16x_0" localSheetId="47">'Div 3'!$P$159</definedName>
    <definedName name="OSRRefP22_16x_0" localSheetId="70">'Div 4'!$P$85:$P$89</definedName>
    <definedName name="OSRRefP22_16x_0" localSheetId="2">Summary!$P$186</definedName>
    <definedName name="OSRRefP22_17x_0" localSheetId="48">'300'!$P$160:$P$163</definedName>
    <definedName name="OSRRefP22_17x_0" localSheetId="49">'300 &amp; 317'!$P$182:$P$185</definedName>
    <definedName name="OSRRefP22_17x_0" localSheetId="50">'301'!$P$83</definedName>
    <definedName name="OSRRefP22_17x_0" localSheetId="63">'310'!$P$88</definedName>
    <definedName name="OSRRefP22_17x_0" localSheetId="71">'310 &amp; 491'!$P$91:$P$101</definedName>
    <definedName name="OSRRefP22_17x_0" localSheetId="58">'326'!$P$99:$P$100</definedName>
    <definedName name="OSRRefP22_17x_0" localSheetId="56">'331'!$P$126:$P$127</definedName>
    <definedName name="OSRRefP22_17x_0" localSheetId="72">'491'!$P$98:$P$99</definedName>
    <definedName name="OSRRefP22_17x_0" localSheetId="86">'492'!$P$94</definedName>
    <definedName name="OSRRefP22_17x_0" localSheetId="39">'Div 2'!$P$89:$P$90</definedName>
    <definedName name="OSRRefP22_17x_0" localSheetId="47">'Div 3'!$P$161:$P$164</definedName>
    <definedName name="OSRRefP22_17x_0" localSheetId="70">'Div 4'!$P$91</definedName>
    <definedName name="OSRRefP22_17x_0" localSheetId="2">Summary!$P$188</definedName>
    <definedName name="OSRRefP22_18x_0" localSheetId="48">'300'!$P$165:$P$168</definedName>
    <definedName name="OSRRefP22_18x_0" localSheetId="49">'300 &amp; 317'!$P$187:$P$190</definedName>
    <definedName name="OSRRefP22_18x_0" localSheetId="50">'301'!$P$85</definedName>
    <definedName name="OSRRefP22_18x_0" localSheetId="63">'310'!$P$90</definedName>
    <definedName name="OSRRefP22_18x_0" localSheetId="71">'310 &amp; 491'!$P$103:$P$104</definedName>
    <definedName name="OSRRefP22_18x_0" localSheetId="58">'326'!$P$102</definedName>
    <definedName name="OSRRefP22_18x_0" localSheetId="56">'331'!$P$129:$P$136</definedName>
    <definedName name="OSRRefP22_18x_0" localSheetId="72">'491'!$P$101</definedName>
    <definedName name="OSRRefP22_18x_0" localSheetId="39">'Div 2'!$P$92</definedName>
    <definedName name="OSRRefP22_18x_0" localSheetId="47">'Div 3'!$P$166:$P$169</definedName>
    <definedName name="OSRRefP22_18x_0" localSheetId="70">'Div 4'!$P$93:$P$103</definedName>
    <definedName name="OSRRefP22_18x_0" localSheetId="2">Summary!$P$190:$P$193</definedName>
    <definedName name="OSRRefP22_19x_0" localSheetId="48">'300'!$P$170:$P$171</definedName>
    <definedName name="OSRRefP22_19x_0" localSheetId="49">'300 &amp; 317'!$P$192:$P$193</definedName>
    <definedName name="OSRRefP22_19x_0" localSheetId="50">'301'!$P$87</definedName>
    <definedName name="OSRRefP22_19x_0" localSheetId="71">'310 &amp; 491'!$P$106</definedName>
    <definedName name="OSRRefP22_19x_0" localSheetId="58">'326'!$P$104:$P$105</definedName>
    <definedName name="OSRRefP22_19x_0" localSheetId="56">'331'!$P$138:$P$139</definedName>
    <definedName name="OSRRefP22_19x_0" localSheetId="72">'491'!$P$103:$P$104</definedName>
    <definedName name="OSRRefP22_19x_0" localSheetId="39">'Div 2'!$P$94:$P$95</definedName>
    <definedName name="OSRRefP22_19x_0" localSheetId="47">'Div 3'!$P$171:$P$175</definedName>
    <definedName name="OSRRefP22_19x_0" localSheetId="70">'Div 4'!$P$105:$P$106</definedName>
    <definedName name="OSRRefP22_19x_0" localSheetId="2">Summary!$P$195:$P$198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'300'!$P$110:$P$119</definedName>
    <definedName name="OSRRefP22_1x_0" localSheetId="49">'300 &amp; 317'!$P$132:$P$141</definedName>
    <definedName name="OSRRefP22_1x_0" localSheetId="50">'301'!$P$30:$P$39</definedName>
    <definedName name="OSRRefP22_1x_0" localSheetId="52">'307'!$P$40:$P$49</definedName>
    <definedName name="OSRRefP22_1x_0" localSheetId="53">'308'!$P$61:$P$70</definedName>
    <definedName name="OSRRefP22_1x_0" localSheetId="64">'309'!$P$30:$P$39</definedName>
    <definedName name="OSRRefP22_1x_0" localSheetId="63">'310'!$P$37:$P$46</definedName>
    <definedName name="OSRRefP22_1x_0" localSheetId="71">'310 &amp; 491'!$P$41:$P$50</definedName>
    <definedName name="OSRRefP22_1x_0" localSheetId="54">'311'!$P$60:$P$69</definedName>
    <definedName name="OSRRefP22_1x_0" localSheetId="65">'313'!$P$33:$P$42</definedName>
    <definedName name="OSRRefP22_1x_0" localSheetId="57">'315'!$P$79:$P$88</definedName>
    <definedName name="OSRRefP22_1x_0" localSheetId="60">'316'!$P$40:$P$49</definedName>
    <definedName name="OSRRefP22_1x_0" localSheetId="62">'317'!$P$58:$P$67</definedName>
    <definedName name="OSRRefP22_1x_0" localSheetId="66">'321'!$P$35:$P$44</definedName>
    <definedName name="OSRRefP22_1x_0" localSheetId="67">'322'!$P$30:$P$39</definedName>
    <definedName name="OSRRefP22_1x_0" localSheetId="55">'324'!$P$36:$P$45</definedName>
    <definedName name="OSRRefP22_1x_0" localSheetId="68">'325'!$P$30:$P$39</definedName>
    <definedName name="OSRRefP22_1x_0" localSheetId="58">'326'!$P$49:$P$58</definedName>
    <definedName name="OSRRefP22_1x_0" localSheetId="51">'330'!$P$40:$P$49</definedName>
    <definedName name="OSRRefP22_1x_0" localSheetId="56">'331'!$P$79:$P$88</definedName>
    <definedName name="OSRRefP22_1x_0" localSheetId="59">'332'!$P$40:$P$49</definedName>
    <definedName name="OSRRefP22_1x_0" localSheetId="73">'405'!$P$32:$P$41</definedName>
    <definedName name="OSRRefP22_1x_0" localSheetId="74">'406'!$P$22</definedName>
    <definedName name="OSRRefP22_1x_0" localSheetId="75">'411'!$P$30:$P$39</definedName>
    <definedName name="OSRRefP22_1x_0" localSheetId="76">'412'!$P$31:$P$40</definedName>
    <definedName name="OSRRefP22_1x_0" localSheetId="78">'413'!$P$33:$P$42</definedName>
    <definedName name="OSRRefP22_1x_0" localSheetId="79">'414'!$P$34:$P$43</definedName>
    <definedName name="OSRRefP22_1x_0" localSheetId="80">'415'!$P$37:$P$46</definedName>
    <definedName name="OSRRefP22_1x_0" localSheetId="81">'418'!$P$32:$P$41</definedName>
    <definedName name="OSRRefP22_1x_0" localSheetId="82">'423'!$P$29:$P$38</definedName>
    <definedName name="OSRRefP22_1x_0" localSheetId="83">'424'!$P$22</definedName>
    <definedName name="OSRRefP22_1x_0" localSheetId="84">'425'!$P$26</definedName>
    <definedName name="OSRRefP22_1x_0" localSheetId="87">'430'!$P$30:$P$39</definedName>
    <definedName name="OSRRefP22_1x_0" localSheetId="88">'433'!$P$38:$P$47</definedName>
    <definedName name="OSRRefP22_1x_0" localSheetId="90">'444'!$P$38:$P$47</definedName>
    <definedName name="OSRRefP22_1x_0" localSheetId="91">'450'!$P$33:$P$42</definedName>
    <definedName name="OSRRefP22_1x_0" localSheetId="72">'491'!$P$38:$P$47</definedName>
    <definedName name="OSRRefP22_1x_0" localSheetId="86">'492'!$P$38:$P$47</definedName>
    <definedName name="OSRRefP22_1x_0" localSheetId="93">'501'!$P$32:$P$41</definedName>
    <definedName name="OSRRefP22_1x_0" localSheetId="39">'Div 2'!$P$33:$P$42</definedName>
    <definedName name="OSRRefP22_1x_0" localSheetId="47">'Div 3'!$P$114:$P$123</definedName>
    <definedName name="OSRRefP22_1x_0" localSheetId="70">'Div 4'!$P$41:$P$50</definedName>
    <definedName name="OSRRefP22_1x_0" localSheetId="92">'Div 5'!$P$32:$P$41</definedName>
    <definedName name="OSRRefP22_1x_0" localSheetId="61">'Div 6'!$P$58:$P$67</definedName>
    <definedName name="OSRRefP22_1x_0" localSheetId="2">Summary!$P$140:$P$149</definedName>
    <definedName name="OSRRefP22_20x_0" localSheetId="48">'300'!$P$173:$P$181</definedName>
    <definedName name="OSRRefP22_20x_0" localSheetId="49">'300 &amp; 317'!$P$195:$P$203</definedName>
    <definedName name="OSRRefP22_20x_0" localSheetId="50">'301'!$P$89</definedName>
    <definedName name="OSRRefP22_20x_0" localSheetId="71">'310 &amp; 491'!$P$108:$P$109</definedName>
    <definedName name="OSRRefP22_20x_0" localSheetId="58">'326'!$P$107</definedName>
    <definedName name="OSRRefP22_20x_0" localSheetId="56">'331'!$P$141</definedName>
    <definedName name="OSRRefP22_20x_0" localSheetId="72">'491'!$P$106</definedName>
    <definedName name="OSRRefP22_20x_0" localSheetId="47">'Div 3'!$P$177:$P$178</definedName>
    <definedName name="OSRRefP22_20x_0" localSheetId="70">'Div 4'!$P$108</definedName>
    <definedName name="OSRRefP22_20x_0" localSheetId="2">Summary!$P$200:$P$204</definedName>
    <definedName name="OSRRefP22_21x_0" localSheetId="48">'300'!$P$183:$P$184</definedName>
    <definedName name="OSRRefP22_21x_0" localSheetId="49">'300 &amp; 317'!$P$205:$P$206</definedName>
    <definedName name="OSRRefP22_21x_0" localSheetId="71">'310 &amp; 491'!$P$111</definedName>
    <definedName name="OSRRefP22_21x_0" localSheetId="56">'331'!$P$143:$P$144</definedName>
    <definedName name="OSRRefP22_21x_0" localSheetId="47">'Div 3'!$P$180:$P$188</definedName>
    <definedName name="OSRRefP22_21x_0" localSheetId="70">'Div 4'!$P$110:$P$111</definedName>
    <definedName name="OSRRefP22_21x_0" localSheetId="2">Summary!$P$206:$P$207</definedName>
    <definedName name="OSRRefP22_22x_0" localSheetId="48">'300'!$P$186</definedName>
    <definedName name="OSRRefP22_22x_0" localSheetId="49">'300 &amp; 317'!$P$208</definedName>
    <definedName name="OSRRefP22_22x_0" localSheetId="56">'331'!$P$146</definedName>
    <definedName name="OSRRefP22_22x_0" localSheetId="47">'Div 3'!$P$190:$P$191</definedName>
    <definedName name="OSRRefP22_22x_0" localSheetId="70">'Div 4'!$P$113</definedName>
    <definedName name="OSRRefP22_22x_0" localSheetId="2">Summary!$P$209:$P$219</definedName>
    <definedName name="OSRRefP22_23x_0" localSheetId="48">'300'!$P$188:$P$190</definedName>
    <definedName name="OSRRefP22_23x_0" localSheetId="49">'300 &amp; 317'!$P$210:$P$212</definedName>
    <definedName name="OSRRefP22_23x_0" localSheetId="47">'Div 3'!$P$193</definedName>
    <definedName name="OSRRefP22_23x_0" localSheetId="2">Summary!$P$221:$P$222</definedName>
    <definedName name="OSRRefP22_24x_0" localSheetId="48">'300'!$P$192</definedName>
    <definedName name="OSRRefP22_24x_0" localSheetId="49">'300 &amp; 317'!$P$214</definedName>
    <definedName name="OSRRefP22_24x_0" localSheetId="47">'Div 3'!$P$195:$P$197</definedName>
    <definedName name="OSRRefP22_24x_0" localSheetId="2">Summary!$P$224</definedName>
    <definedName name="OSRRefP22_25x_0" localSheetId="47">'Div 3'!$P$199</definedName>
    <definedName name="OSRRefP22_25x_0" localSheetId="2">Summary!$P$226:$P$228</definedName>
    <definedName name="OSRRefP22_26x_0" localSheetId="2">Summary!$P$230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'300'!$P$121</definedName>
    <definedName name="OSRRefP22_2x_0" localSheetId="49">'300 &amp; 317'!$P$143</definedName>
    <definedName name="OSRRefP22_2x_0" localSheetId="50">'301'!$P$41:$P$42</definedName>
    <definedName name="OSRRefP22_2x_0" localSheetId="52">'307'!$P$51</definedName>
    <definedName name="OSRRefP22_2x_0" localSheetId="53">'308'!$P$72</definedName>
    <definedName name="OSRRefP22_2x_0" localSheetId="64">'309'!$P$41</definedName>
    <definedName name="OSRRefP22_2x_0" localSheetId="63">'310'!$P$48</definedName>
    <definedName name="OSRRefP22_2x_0" localSheetId="71">'310 &amp; 491'!$P$52</definedName>
    <definedName name="OSRRefP22_2x_0" localSheetId="54">'311'!$P$71</definedName>
    <definedName name="OSRRefP22_2x_0" localSheetId="65">'313'!$P$44</definedName>
    <definedName name="OSRRefP22_2x_0" localSheetId="57">'315'!$P$90</definedName>
    <definedName name="OSRRefP22_2x_0" localSheetId="60">'316'!$P$51</definedName>
    <definedName name="OSRRefP22_2x_0" localSheetId="62">'317'!$P$69</definedName>
    <definedName name="OSRRefP22_2x_0" localSheetId="66">'321'!$P$46</definedName>
    <definedName name="OSRRefP22_2x_0" localSheetId="67">'322'!$P$41</definedName>
    <definedName name="OSRRefP22_2x_0" localSheetId="68">'325'!$P$41</definedName>
    <definedName name="OSRRefP22_2x_0" localSheetId="58">'326'!$P$60</definedName>
    <definedName name="OSRRefP22_2x_0" localSheetId="51">'330'!$P$51</definedName>
    <definedName name="OSRRefP22_2x_0" localSheetId="56">'331'!$P$90</definedName>
    <definedName name="OSRRefP22_2x_0" localSheetId="59">'332'!$P$51</definedName>
    <definedName name="OSRRefP22_2x_0" localSheetId="73">'405'!$P$43</definedName>
    <definedName name="OSRRefP22_2x_0" localSheetId="74">'406'!$P$24</definedName>
    <definedName name="OSRRefP22_2x_0" localSheetId="75">'411'!$P$41</definedName>
    <definedName name="OSRRefP22_2x_0" localSheetId="76">'412'!$P$42</definedName>
    <definedName name="OSRRefP22_2x_0" localSheetId="78">'413'!$P$44</definedName>
    <definedName name="OSRRefP22_2x_0" localSheetId="79">'414'!$P$45</definedName>
    <definedName name="OSRRefP22_2x_0" localSheetId="80">'415'!$P$48</definedName>
    <definedName name="OSRRefP22_2x_0" localSheetId="81">'418'!$P$43</definedName>
    <definedName name="OSRRefP22_2x_0" localSheetId="82">'423'!$P$40</definedName>
    <definedName name="OSRRefP22_2x_0" localSheetId="83">'424'!$P$24</definedName>
    <definedName name="OSRRefP22_2x_0" localSheetId="84">'425'!$P$28</definedName>
    <definedName name="OSRRefP22_2x_0" localSheetId="87">'430'!$P$41:$P$43</definedName>
    <definedName name="OSRRefP22_2x_0" localSheetId="88">'433'!$P$49</definedName>
    <definedName name="OSRRefP22_2x_0" localSheetId="90">'444'!$P$49</definedName>
    <definedName name="OSRRefP22_2x_0" localSheetId="91">'450'!$P$44</definedName>
    <definedName name="OSRRefP22_2x_0" localSheetId="72">'491'!$P$49</definedName>
    <definedName name="OSRRefP22_2x_0" localSheetId="86">'492'!$P$49</definedName>
    <definedName name="OSRRefP22_2x_0" localSheetId="93">'501'!$P$43</definedName>
    <definedName name="OSRRefP22_2x_0" localSheetId="39">'Div 2'!$P$44</definedName>
    <definedName name="OSRRefP22_2x_0" localSheetId="47">'Div 3'!$P$125</definedName>
    <definedName name="OSRRefP22_2x_0" localSheetId="70">'Div 4'!$P$52</definedName>
    <definedName name="OSRRefP22_2x_0" localSheetId="92">'Div 5'!$P$43</definedName>
    <definedName name="OSRRefP22_2x_0" localSheetId="61">'Div 6'!$P$69</definedName>
    <definedName name="OSRRefP22_2x_0" localSheetId="2">Summary!$P$151</definedName>
    <definedName name="OSRRefP22_3x_0" localSheetId="40">'200'!$P$26:$P$27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'205'!$P$43:$P$44</definedName>
    <definedName name="OSRRefP22_3x_0" localSheetId="46">'206'!$P$43</definedName>
    <definedName name="OSRRefP22_3x_0" localSheetId="48">'300'!$P$123:$P$124</definedName>
    <definedName name="OSRRefP22_3x_0" localSheetId="49">'300 &amp; 317'!$P$145:$P$146</definedName>
    <definedName name="OSRRefP22_3x_0" localSheetId="50">'301'!$P$44</definedName>
    <definedName name="OSRRefP22_3x_0" localSheetId="52">'307'!$P$53</definedName>
    <definedName name="OSRRefP22_3x_0" localSheetId="53">'308'!$P$74</definedName>
    <definedName name="OSRRefP22_3x_0" localSheetId="64">'309'!$P$43</definedName>
    <definedName name="OSRRefP22_3x_0" localSheetId="63">'310'!$P$50</definedName>
    <definedName name="OSRRefP22_3x_0" localSheetId="71">'310 &amp; 491'!$P$54</definedName>
    <definedName name="OSRRefP22_3x_0" localSheetId="54">'311'!$P$73</definedName>
    <definedName name="OSRRefP22_3x_0" localSheetId="65">'313'!$P$46</definedName>
    <definedName name="OSRRefP22_3x_0" localSheetId="57">'315'!$P$92</definedName>
    <definedName name="OSRRefP22_3x_0" localSheetId="60">'316'!$P$53</definedName>
    <definedName name="OSRRefP22_3x_0" localSheetId="62">'317'!$P$71</definedName>
    <definedName name="OSRRefP22_3x_0" localSheetId="66">'321'!$P$48</definedName>
    <definedName name="OSRRefP22_3x_0" localSheetId="67">'322'!$P$43</definedName>
    <definedName name="OSRRefP22_3x_0" localSheetId="68">'325'!$P$43</definedName>
    <definedName name="OSRRefP22_3x_0" localSheetId="58">'326'!$P$62</definedName>
    <definedName name="OSRRefP22_3x_0" localSheetId="51">'330'!$P$53</definedName>
    <definedName name="OSRRefP22_3x_0" localSheetId="56">'331'!$P$92</definedName>
    <definedName name="OSRRefP22_3x_0" localSheetId="59">'332'!$P$53</definedName>
    <definedName name="OSRRefP22_3x_0" localSheetId="73">'405'!$P$45</definedName>
    <definedName name="OSRRefP22_3x_0" localSheetId="74">'406'!$P$26</definedName>
    <definedName name="OSRRefP22_3x_0" localSheetId="75">'411'!$P$43</definedName>
    <definedName name="OSRRefP22_3x_0" localSheetId="76">'412'!$P$44</definedName>
    <definedName name="OSRRefP22_3x_0" localSheetId="78">'413'!$P$46</definedName>
    <definedName name="OSRRefP22_3x_0" localSheetId="79">'414'!$P$47</definedName>
    <definedName name="OSRRefP22_3x_0" localSheetId="80">'415'!$P$50</definedName>
    <definedName name="OSRRefP22_3x_0" localSheetId="81">'418'!$P$45</definedName>
    <definedName name="OSRRefP22_3x_0" localSheetId="82">'423'!$P$42:$P$43</definedName>
    <definedName name="OSRRefP22_3x_0" localSheetId="83">'424'!$P$26</definedName>
    <definedName name="OSRRefP22_3x_0" localSheetId="84">'425'!$P$30</definedName>
    <definedName name="OSRRefP22_3x_0" localSheetId="87">'430'!$P$45:$P$46</definedName>
    <definedName name="OSRRefP22_3x_0" localSheetId="88">'433'!$P$51</definedName>
    <definedName name="OSRRefP22_3x_0" localSheetId="90">'444'!$P$51</definedName>
    <definedName name="OSRRefP22_3x_0" localSheetId="91">'450'!$P$46</definedName>
    <definedName name="OSRRefP22_3x_0" localSheetId="72">'491'!$P$51</definedName>
    <definedName name="OSRRefP22_3x_0" localSheetId="86">'492'!$P$51</definedName>
    <definedName name="OSRRefP22_3x_0" localSheetId="93">'501'!$P$45</definedName>
    <definedName name="OSRRefP22_3x_0" localSheetId="39">'Div 2'!$P$46</definedName>
    <definedName name="OSRRefP22_3x_0" localSheetId="47">'Div 3'!$P$127:$P$128</definedName>
    <definedName name="OSRRefP22_3x_0" localSheetId="70">'Div 4'!$P$54</definedName>
    <definedName name="OSRRefP22_3x_0" localSheetId="92">'Div 5'!$P$45</definedName>
    <definedName name="OSRRefP22_3x_0" localSheetId="61">'Div 6'!$P$71</definedName>
    <definedName name="OSRRefP22_3x_0" localSheetId="2">Summary!$P$153:$P$154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'205'!$P$46</definedName>
    <definedName name="OSRRefP22_4x_0" localSheetId="46">'206'!$P$45</definedName>
    <definedName name="OSRRefP22_4x_0" localSheetId="48">'300'!$P$126</definedName>
    <definedName name="OSRRefP22_4x_0" localSheetId="49">'300 &amp; 317'!$P$148</definedName>
    <definedName name="OSRRefP22_4x_0" localSheetId="50">'301'!$P$46:$P$47</definedName>
    <definedName name="OSRRefP22_4x_0" localSheetId="52">'307'!$P$55</definedName>
    <definedName name="OSRRefP22_4x_0" localSheetId="53">'308'!$P$76</definedName>
    <definedName name="OSRRefP22_4x_0" localSheetId="64">'309'!$P$45:$P$46</definedName>
    <definedName name="OSRRefP22_4x_0" localSheetId="63">'310'!$P$52</definedName>
    <definedName name="OSRRefP22_4x_0" localSheetId="71">'310 &amp; 491'!$P$56</definedName>
    <definedName name="OSRRefP22_4x_0" localSheetId="54">'311'!$P$75</definedName>
    <definedName name="OSRRefP22_4x_0" localSheetId="65">'313'!$P$48</definedName>
    <definedName name="OSRRefP22_4x_0" localSheetId="57">'315'!$P$94</definedName>
    <definedName name="OSRRefP22_4x_0" localSheetId="60">'316'!$P$55</definedName>
    <definedName name="OSRRefP22_4x_0" localSheetId="62">'317'!$P$73</definedName>
    <definedName name="OSRRefP22_4x_0" localSheetId="66">'321'!$P$50</definedName>
    <definedName name="OSRRefP22_4x_0" localSheetId="67">'322'!$P$45</definedName>
    <definedName name="OSRRefP22_4x_0" localSheetId="68">'325'!$P$45</definedName>
    <definedName name="OSRRefP22_4x_0" localSheetId="58">'326'!$P$64</definedName>
    <definedName name="OSRRefP22_4x_0" localSheetId="51">'330'!$P$55</definedName>
    <definedName name="OSRRefP22_4x_0" localSheetId="56">'331'!$P$94</definedName>
    <definedName name="OSRRefP22_4x_0" localSheetId="59">'332'!$P$55</definedName>
    <definedName name="OSRRefP22_4x_0" localSheetId="73">'405'!$P$47:$P$48</definedName>
    <definedName name="OSRRefP22_4x_0" localSheetId="74">'406'!$P$28</definedName>
    <definedName name="OSRRefP22_4x_0" localSheetId="75">'411'!$P$45:$P$46</definedName>
    <definedName name="OSRRefP22_4x_0" localSheetId="76">'412'!$P$46:$P$47</definedName>
    <definedName name="OSRRefP22_4x_0" localSheetId="78">'413'!$P$48</definedName>
    <definedName name="OSRRefP22_4x_0" localSheetId="79">'414'!$P$49</definedName>
    <definedName name="OSRRefP22_4x_0" localSheetId="80">'415'!$P$52</definedName>
    <definedName name="OSRRefP22_4x_0" localSheetId="81">'418'!$P$47:$P$48</definedName>
    <definedName name="OSRRefP22_4x_0" localSheetId="82">'423'!$P$45</definedName>
    <definedName name="OSRRefP22_4x_0" localSheetId="84">'425'!$P$32</definedName>
    <definedName name="OSRRefP22_4x_0" localSheetId="87">'430'!$P$48</definedName>
    <definedName name="OSRRefP22_4x_0" localSheetId="88">'433'!$P$53</definedName>
    <definedName name="OSRRefP22_4x_0" localSheetId="90">'444'!$P$53</definedName>
    <definedName name="OSRRefP22_4x_0" localSheetId="91">'450'!$P$48</definedName>
    <definedName name="OSRRefP22_4x_0" localSheetId="72">'491'!$P$53</definedName>
    <definedName name="OSRRefP22_4x_0" localSheetId="86">'492'!$P$53</definedName>
    <definedName name="OSRRefP22_4x_0" localSheetId="93">'501'!$P$47</definedName>
    <definedName name="OSRRefP22_4x_0" localSheetId="39">'Div 2'!$P$48</definedName>
    <definedName name="OSRRefP22_4x_0" localSheetId="47">'Div 3'!$P$130</definedName>
    <definedName name="OSRRefP22_4x_0" localSheetId="70">'Div 4'!$P$56</definedName>
    <definedName name="OSRRefP22_4x_0" localSheetId="92">'Div 5'!$P$47</definedName>
    <definedName name="OSRRefP22_4x_0" localSheetId="61">'Div 6'!$P$73</definedName>
    <definedName name="OSRRefP22_4x_0" localSheetId="2">Summary!$P$156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'300'!$P$128:$P$129</definedName>
    <definedName name="OSRRefP22_5x_0" localSheetId="49">'300 &amp; 317'!$P$150:$P$151</definedName>
    <definedName name="OSRRefP22_5x_0" localSheetId="50">'301'!$P$49</definedName>
    <definedName name="OSRRefP22_5x_0" localSheetId="52">'307'!$P$57</definedName>
    <definedName name="OSRRefP22_5x_0" localSheetId="53">'308'!$P$78</definedName>
    <definedName name="OSRRefP22_5x_0" localSheetId="64">'309'!$P$48:$P$49</definedName>
    <definedName name="OSRRefP22_5x_0" localSheetId="63">'310'!$P$54:$P$55</definedName>
    <definedName name="OSRRefP22_5x_0" localSheetId="71">'310 &amp; 491'!$P$58:$P$60</definedName>
    <definedName name="OSRRefP22_5x_0" localSheetId="54">'311'!$P$77</definedName>
    <definedName name="OSRRefP22_5x_0" localSheetId="65">'313'!$P$50</definedName>
    <definedName name="OSRRefP22_5x_0" localSheetId="57">'315'!$P$96</definedName>
    <definedName name="OSRRefP22_5x_0" localSheetId="60">'316'!$P$57</definedName>
    <definedName name="OSRRefP22_5x_0" localSheetId="62">'317'!$P$75</definedName>
    <definedName name="OSRRefP22_5x_0" localSheetId="66">'321'!$P$52</definedName>
    <definedName name="OSRRefP22_5x_0" localSheetId="67">'322'!$P$47</definedName>
    <definedName name="OSRRefP22_5x_0" localSheetId="68">'325'!$P$47:$P$48</definedName>
    <definedName name="OSRRefP22_5x_0" localSheetId="58">'326'!$P$66</definedName>
    <definedName name="OSRRefP22_5x_0" localSheetId="51">'330'!$P$57</definedName>
    <definedName name="OSRRefP22_5x_0" localSheetId="56">'331'!$P$96</definedName>
    <definedName name="OSRRefP22_5x_0" localSheetId="59">'332'!$P$57</definedName>
    <definedName name="OSRRefP22_5x_0" localSheetId="73">'405'!$P$50</definedName>
    <definedName name="OSRRefP22_5x_0" localSheetId="75">'411'!$P$48</definedName>
    <definedName name="OSRRefP22_5x_0" localSheetId="76">'412'!$P$49</definedName>
    <definedName name="OSRRefP22_5x_0" localSheetId="78">'413'!$P$50</definedName>
    <definedName name="OSRRefP22_5x_0" localSheetId="79">'414'!$P$51</definedName>
    <definedName name="OSRRefP22_5x_0" localSheetId="80">'415'!$P$54:$P$55</definedName>
    <definedName name="OSRRefP22_5x_0" localSheetId="81">'418'!$P$50</definedName>
    <definedName name="OSRRefP22_5x_0" localSheetId="82">'423'!$P$47</definedName>
    <definedName name="OSRRefP22_5x_0" localSheetId="87">'430'!$P$50</definedName>
    <definedName name="OSRRefP22_5x_0" localSheetId="88">'433'!$P$55</definedName>
    <definedName name="OSRRefP22_5x_0" localSheetId="90">'444'!$P$55</definedName>
    <definedName name="OSRRefP22_5x_0" localSheetId="91">'450'!$P$50</definedName>
    <definedName name="OSRRefP22_5x_0" localSheetId="72">'491'!$P$55:$P$57</definedName>
    <definedName name="OSRRefP22_5x_0" localSheetId="86">'492'!$P$55</definedName>
    <definedName name="OSRRefP22_5x_0" localSheetId="93">'501'!$P$49:$P$50</definedName>
    <definedName name="OSRRefP22_5x_0" localSheetId="39">'Div 2'!$P$50:$P$51</definedName>
    <definedName name="OSRRefP22_5x_0" localSheetId="47">'Div 3'!$P$132:$P$133</definedName>
    <definedName name="OSRRefP22_5x_0" localSheetId="70">'Div 4'!$P$58:$P$60</definedName>
    <definedName name="OSRRefP22_5x_0" localSheetId="92">'Div 5'!$P$49:$P$50</definedName>
    <definedName name="OSRRefP22_5x_0" localSheetId="61">'Div 6'!$P$75</definedName>
    <definedName name="OSRRefP22_5x_0" localSheetId="2">Summary!$P$158:$P$160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'204'!$P$51:$P$53</definedName>
    <definedName name="OSRRefP22_6x_0" localSheetId="45">'205'!$P$50</definedName>
    <definedName name="OSRRefP22_6x_0" localSheetId="46">'206'!$P$49</definedName>
    <definedName name="OSRRefP22_6x_0" localSheetId="48">'300'!$P$131</definedName>
    <definedName name="OSRRefP22_6x_0" localSheetId="49">'300 &amp; 317'!$P$153</definedName>
    <definedName name="OSRRefP22_6x_0" localSheetId="50">'301'!$P$51</definedName>
    <definedName name="OSRRefP22_6x_0" localSheetId="52">'307'!$P$59</definedName>
    <definedName name="OSRRefP22_6x_0" localSheetId="53">'308'!$P$80</definedName>
    <definedName name="OSRRefP22_6x_0" localSheetId="64">'309'!$P$51</definedName>
    <definedName name="OSRRefP22_6x_0" localSheetId="63">'310'!$P$57</definedName>
    <definedName name="OSRRefP22_6x_0" localSheetId="71">'310 &amp; 491'!$P$62</definedName>
    <definedName name="OSRRefP22_6x_0" localSheetId="54">'311'!$P$79</definedName>
    <definedName name="OSRRefP22_6x_0" localSheetId="65">'313'!$P$52</definedName>
    <definedName name="OSRRefP22_6x_0" localSheetId="57">'315'!$P$98</definedName>
    <definedName name="OSRRefP22_6x_0" localSheetId="60">'316'!$P$59:$P$60</definedName>
    <definedName name="OSRRefP22_6x_0" localSheetId="62">'317'!$P$77:$P$78</definedName>
    <definedName name="OSRRefP22_6x_0" localSheetId="66">'321'!$P$54</definedName>
    <definedName name="OSRRefP22_6x_0" localSheetId="67">'322'!$P$49</definedName>
    <definedName name="OSRRefP22_6x_0" localSheetId="68">'325'!$P$50</definedName>
    <definedName name="OSRRefP22_6x_0" localSheetId="58">'326'!$P$68</definedName>
    <definedName name="OSRRefP22_6x_0" localSheetId="51">'330'!$P$59</definedName>
    <definedName name="OSRRefP22_6x_0" localSheetId="56">'331'!$P$98</definedName>
    <definedName name="OSRRefP22_6x_0" localSheetId="59">'332'!$P$59:$P$60</definedName>
    <definedName name="OSRRefP22_6x_0" localSheetId="73">'405'!$P$52</definedName>
    <definedName name="OSRRefP22_6x_0" localSheetId="75">'411'!$P$50</definedName>
    <definedName name="OSRRefP22_6x_0" localSheetId="76">'412'!$P$51</definedName>
    <definedName name="OSRRefP22_6x_0" localSheetId="78">'413'!$P$52</definedName>
    <definedName name="OSRRefP22_6x_0" localSheetId="79">'414'!$P$53</definedName>
    <definedName name="OSRRefP22_6x_0" localSheetId="80">'415'!$P$57</definedName>
    <definedName name="OSRRefP22_6x_0" localSheetId="81">'418'!$P$52</definedName>
    <definedName name="OSRRefP22_6x_0" localSheetId="82">'423'!$P$49</definedName>
    <definedName name="OSRRefP22_6x_0" localSheetId="88">'433'!$P$57</definedName>
    <definedName name="OSRRefP22_6x_0" localSheetId="90">'444'!$P$57</definedName>
    <definedName name="OSRRefP22_6x_0" localSheetId="91">'450'!$P$52</definedName>
    <definedName name="OSRRefP22_6x_0" localSheetId="72">'491'!$P$59</definedName>
    <definedName name="OSRRefP22_6x_0" localSheetId="86">'492'!$P$57</definedName>
    <definedName name="OSRRefP22_6x_0" localSheetId="93">'501'!$P$52</definedName>
    <definedName name="OSRRefP22_6x_0" localSheetId="39">'Div 2'!$P$53</definedName>
    <definedName name="OSRRefP22_6x_0" localSheetId="47">'Div 3'!$P$135</definedName>
    <definedName name="OSRRefP22_6x_0" localSheetId="70">'Div 4'!$P$62</definedName>
    <definedName name="OSRRefP22_6x_0" localSheetId="92">'Div 5'!$P$52</definedName>
    <definedName name="OSRRefP22_6x_0" localSheetId="61">'Div 6'!$P$77:$P$78</definedName>
    <definedName name="OSRRefP22_6x_0" localSheetId="2">Summary!$P$162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'204'!$P$55:$P$56</definedName>
    <definedName name="OSRRefP22_7x_0" localSheetId="46">'206'!$P$51</definedName>
    <definedName name="OSRRefP22_7x_0" localSheetId="48">'300'!$P$133:$P$134</definedName>
    <definedName name="OSRRefP22_7x_0" localSheetId="49">'300 &amp; 317'!$P$155:$P$156</definedName>
    <definedName name="OSRRefP22_7x_0" localSheetId="50">'301'!$P$53</definedName>
    <definedName name="OSRRefP22_7x_0" localSheetId="52">'307'!$P$61</definedName>
    <definedName name="OSRRefP22_7x_0" localSheetId="53">'308'!$P$82:$P$83</definedName>
    <definedName name="OSRRefP22_7x_0" localSheetId="63">'310'!$P$59</definedName>
    <definedName name="OSRRefP22_7x_0" localSheetId="71">'310 &amp; 491'!$P$64</definedName>
    <definedName name="OSRRefP22_7x_0" localSheetId="54">'311'!$P$81:$P$82</definedName>
    <definedName name="OSRRefP22_7x_0" localSheetId="65">'313'!$P$54</definedName>
    <definedName name="OSRRefP22_7x_0" localSheetId="57">'315'!$P$100:$P$101</definedName>
    <definedName name="OSRRefP22_7x_0" localSheetId="60">'316'!$P$62</definedName>
    <definedName name="OSRRefP22_7x_0" localSheetId="62">'317'!$P$80</definedName>
    <definedName name="OSRRefP22_7x_0" localSheetId="66">'321'!$P$56:$P$57</definedName>
    <definedName name="OSRRefP22_7x_0" localSheetId="67">'322'!$P$51:$P$52</definedName>
    <definedName name="OSRRefP22_7x_0" localSheetId="68">'325'!$P$52</definedName>
    <definedName name="OSRRefP22_7x_0" localSheetId="58">'326'!$P$70</definedName>
    <definedName name="OSRRefP22_7x_0" localSheetId="51">'330'!$P$61</definedName>
    <definedName name="OSRRefP22_7x_0" localSheetId="56">'331'!$P$100</definedName>
    <definedName name="OSRRefP22_7x_0" localSheetId="59">'332'!$P$62</definedName>
    <definedName name="OSRRefP22_7x_0" localSheetId="73">'405'!$P$54</definedName>
    <definedName name="OSRRefP22_7x_0" localSheetId="75">'411'!$P$52:$P$53</definedName>
    <definedName name="OSRRefP22_7x_0" localSheetId="76">'412'!$P$53</definedName>
    <definedName name="OSRRefP22_7x_0" localSheetId="78">'413'!$P$54:$P$55</definedName>
    <definedName name="OSRRefP22_7x_0" localSheetId="79">'414'!$P$55</definedName>
    <definedName name="OSRRefP22_7x_0" localSheetId="80">'415'!$P$59</definedName>
    <definedName name="OSRRefP22_7x_0" localSheetId="81">'418'!$P$54</definedName>
    <definedName name="OSRRefP22_7x_0" localSheetId="88">'433'!$P$59</definedName>
    <definedName name="OSRRefP22_7x_0" localSheetId="90">'444'!$P$59</definedName>
    <definedName name="OSRRefP22_7x_0" localSheetId="91">'450'!$P$54</definedName>
    <definedName name="OSRRefP22_7x_0" localSheetId="72">'491'!$P$61</definedName>
    <definedName name="OSRRefP22_7x_0" localSheetId="86">'492'!$P$59</definedName>
    <definedName name="OSRRefP22_7x_0" localSheetId="93">'501'!$P$54</definedName>
    <definedName name="OSRRefP22_7x_0" localSheetId="39">'Div 2'!$P$55</definedName>
    <definedName name="OSRRefP22_7x_0" localSheetId="47">'Div 3'!$P$137:$P$138</definedName>
    <definedName name="OSRRefP22_7x_0" localSheetId="70">'Div 4'!$P$64</definedName>
    <definedName name="OSRRefP22_7x_0" localSheetId="92">'Div 5'!$P$54</definedName>
    <definedName name="OSRRefP22_7x_0" localSheetId="61">'Div 6'!$P$80</definedName>
    <definedName name="OSRRefP22_7x_0" localSheetId="2">Summary!$P$164:$P$165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'204'!$P$58</definedName>
    <definedName name="OSRRefP22_8x_0" localSheetId="46">'206'!$P$53:$P$54</definedName>
    <definedName name="OSRRefP22_8x_0" localSheetId="48">'300'!$P$136</definedName>
    <definedName name="OSRRefP22_8x_0" localSheetId="49">'300 &amp; 317'!$P$158</definedName>
    <definedName name="OSRRefP22_8x_0" localSheetId="50">'301'!$P$55</definedName>
    <definedName name="OSRRefP22_8x_0" localSheetId="52">'307'!$P$63</definedName>
    <definedName name="OSRRefP22_8x_0" localSheetId="53">'308'!$P$85</definedName>
    <definedName name="OSRRefP22_8x_0" localSheetId="63">'310'!$P$61</definedName>
    <definedName name="OSRRefP22_8x_0" localSheetId="71">'310 &amp; 491'!$P$66</definedName>
    <definedName name="OSRRefP22_8x_0" localSheetId="54">'311'!$P$84</definedName>
    <definedName name="OSRRefP22_8x_0" localSheetId="65">'313'!$P$56:$P$58</definedName>
    <definedName name="OSRRefP22_8x_0" localSheetId="57">'315'!$P$103</definedName>
    <definedName name="OSRRefP22_8x_0" localSheetId="60">'316'!$P$64</definedName>
    <definedName name="OSRRefP22_8x_0" localSheetId="62">'317'!$P$82</definedName>
    <definedName name="OSRRefP22_8x_0" localSheetId="66">'321'!$P$59</definedName>
    <definedName name="OSRRefP22_8x_0" localSheetId="67">'322'!$P$54:$P$55</definedName>
    <definedName name="OSRRefP22_8x_0" localSheetId="68">'325'!$P$54</definedName>
    <definedName name="OSRRefP22_8x_0" localSheetId="58">'326'!$P$72:$P$73</definedName>
    <definedName name="OSRRefP22_8x_0" localSheetId="51">'330'!$P$63</definedName>
    <definedName name="OSRRefP22_8x_0" localSheetId="56">'331'!$P$102:$P$103</definedName>
    <definedName name="OSRRefP22_8x_0" localSheetId="59">'332'!$P$64</definedName>
    <definedName name="OSRRefP22_8x_0" localSheetId="73">'405'!$P$56:$P$57</definedName>
    <definedName name="OSRRefP22_8x_0" localSheetId="75">'411'!$P$55:$P$58</definedName>
    <definedName name="OSRRefP22_8x_0" localSheetId="76">'412'!$P$55:$P$56</definedName>
    <definedName name="OSRRefP22_8x_0" localSheetId="78">'413'!$P$57:$P$58</definedName>
    <definedName name="OSRRefP22_8x_0" localSheetId="79">'414'!$P$57</definedName>
    <definedName name="OSRRefP22_8x_0" localSheetId="80">'415'!$P$61</definedName>
    <definedName name="OSRRefP22_8x_0" localSheetId="81">'418'!$P$56:$P$58</definedName>
    <definedName name="OSRRefP22_8x_0" localSheetId="88">'433'!$P$61</definedName>
    <definedName name="OSRRefP22_8x_0" localSheetId="90">'444'!$P$61</definedName>
    <definedName name="OSRRefP22_8x_0" localSheetId="91">'450'!$P$56</definedName>
    <definedName name="OSRRefP22_8x_0" localSheetId="72">'491'!$P$63</definedName>
    <definedName name="OSRRefP22_8x_0" localSheetId="86">'492'!$P$61</definedName>
    <definedName name="OSRRefP22_8x_0" localSheetId="93">'501'!$P$56</definedName>
    <definedName name="OSRRefP22_8x_0" localSheetId="39">'Div 2'!$P$57</definedName>
    <definedName name="OSRRefP22_8x_0" localSheetId="47">'Div 3'!$P$140</definedName>
    <definedName name="OSRRefP22_8x_0" localSheetId="70">'Div 4'!$P$66</definedName>
    <definedName name="OSRRefP22_8x_0" localSheetId="92">'Div 5'!$P$56</definedName>
    <definedName name="OSRRefP22_8x_0" localSheetId="61">'Div 6'!$P$82</definedName>
    <definedName name="OSRRefP22_8x_0" localSheetId="2">Summary!$P$167</definedName>
    <definedName name="OSRRefP22_9x_0" localSheetId="41">'201'!$P$56</definedName>
    <definedName name="OSRRefP22_9x_0" localSheetId="42">'202'!$P$58:$P$60</definedName>
    <definedName name="OSRRefP22_9x_0" localSheetId="43">'203'!$P$59</definedName>
    <definedName name="OSRRefP22_9x_0" localSheetId="44">'204'!$P$60:$P$61</definedName>
    <definedName name="OSRRefP22_9x_0" localSheetId="46">'206'!$P$56</definedName>
    <definedName name="OSRRefP22_9x_0" localSheetId="48">'300'!$P$138</definedName>
    <definedName name="OSRRefP22_9x_0" localSheetId="49">'300 &amp; 317'!$P$160</definedName>
    <definedName name="OSRRefP22_9x_0" localSheetId="50">'301'!$P$57</definedName>
    <definedName name="OSRRefP22_9x_0" localSheetId="52">'307'!$P$65:$P$66</definedName>
    <definedName name="OSRRefP22_9x_0" localSheetId="53">'308'!$P$87:$P$88</definedName>
    <definedName name="OSRRefP22_9x_0" localSheetId="63">'310'!$P$63</definedName>
    <definedName name="OSRRefP22_9x_0" localSheetId="71">'310 &amp; 491'!$P$68</definedName>
    <definedName name="OSRRefP22_9x_0" localSheetId="54">'311'!$P$86:$P$87</definedName>
    <definedName name="OSRRefP22_9x_0" localSheetId="65">'313'!$P$60:$P$61</definedName>
    <definedName name="OSRRefP22_9x_0" localSheetId="57">'315'!$P$105</definedName>
    <definedName name="OSRRefP22_9x_0" localSheetId="60">'316'!$P$66:$P$69</definedName>
    <definedName name="OSRRefP22_9x_0" localSheetId="62">'317'!$P$84</definedName>
    <definedName name="OSRRefP22_9x_0" localSheetId="66">'321'!$P$61</definedName>
    <definedName name="OSRRefP22_9x_0" localSheetId="67">'322'!$P$57:$P$60</definedName>
    <definedName name="OSRRefP22_9x_0" localSheetId="68">'325'!$P$56:$P$57</definedName>
    <definedName name="OSRRefP22_9x_0" localSheetId="58">'326'!$P$75</definedName>
    <definedName name="OSRRefP22_9x_0" localSheetId="51">'330'!$P$65:$P$66</definedName>
    <definedName name="OSRRefP22_9x_0" localSheetId="56">'331'!$P$105:$P$106</definedName>
    <definedName name="OSRRefP22_9x_0" localSheetId="59">'332'!$P$66:$P$69</definedName>
    <definedName name="OSRRefP22_9x_0" localSheetId="73">'405'!$P$59:$P$62</definedName>
    <definedName name="OSRRefP22_9x_0" localSheetId="75">'411'!$P$60:$P$66</definedName>
    <definedName name="OSRRefP22_9x_0" localSheetId="76">'412'!$P$58</definedName>
    <definedName name="OSRRefP22_9x_0" localSheetId="78">'413'!$P$60:$P$67</definedName>
    <definedName name="OSRRefP22_9x_0" localSheetId="79">'414'!$P$59</definedName>
    <definedName name="OSRRefP22_9x_0" localSheetId="80">'415'!$P$63</definedName>
    <definedName name="OSRRefP22_9x_0" localSheetId="81">'418'!$P$60:$P$61</definedName>
    <definedName name="OSRRefP22_9x_0" localSheetId="88">'433'!$P$63</definedName>
    <definedName name="OSRRefP22_9x_0" localSheetId="90">'444'!$P$63</definedName>
    <definedName name="OSRRefP22_9x_0" localSheetId="91">'450'!$P$58</definedName>
    <definedName name="OSRRefP22_9x_0" localSheetId="72">'491'!$P$65</definedName>
    <definedName name="OSRRefP22_9x_0" localSheetId="86">'492'!$P$63</definedName>
    <definedName name="OSRRefP22_9x_0" localSheetId="93">'501'!$P$58:$P$59</definedName>
    <definedName name="OSRRefP22_9x_0" localSheetId="39">'Div 2'!$P$59:$P$60</definedName>
    <definedName name="OSRRefP22_9x_0" localSheetId="47">'Div 3'!$P$142</definedName>
    <definedName name="OSRRefP22_9x_0" localSheetId="70">'Div 4'!$P$68</definedName>
    <definedName name="OSRRefP22_9x_0" localSheetId="92">'Div 5'!$P$58:$P$59</definedName>
    <definedName name="OSRRefP22_9x_0" localSheetId="61">'Div 6'!$P$84</definedName>
    <definedName name="OSRRefP22_9x_0" localSheetId="2">Summary!$P$169</definedName>
    <definedName name="OSRRefP22x_0" localSheetId="40">'200'!$P$20,'200'!$P$22,'200'!$P$24,'200'!$P$26:$P$27</definedName>
    <definedName name="OSRRefP22x_0" localSheetId="41">'201'!$P$21:$P$29,'201'!$P$31:$P$40,'201'!$P$42,'201'!$P$44,'201'!$P$46,'201'!$P$48,'201'!$P$50,'201'!$P$52,'201'!$P$54,'201'!$P$56,'201'!$P$58,'201'!$P$60:$P$62,'201'!$P$64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'203'!$P$20:$P$29,'203'!$P$31:$P$40,'203'!$P$42,'203'!$P$44,'203'!$P$46,'203'!$P$48,'203'!$P$50,'203'!$P$52:$P$53,'203'!$P$55:$P$57,'203'!$P$59,'203'!$P$61,'203'!$P$63:$P$65,'203'!$P$67,'203'!$P$69</definedName>
    <definedName name="OSRRefP22x_0" localSheetId="44">'204'!$P$20:$P$29,'204'!$P$31:$P$40,'204'!$P$42,'204'!$P$44:$P$45,'204'!$P$47,'204'!$P$49,'204'!$P$51:$P$53,'204'!$P$55:$P$56,'204'!$P$58,'204'!$P$60:$P$61,'204'!$P$63</definedName>
    <definedName name="OSRRefP22x_0" localSheetId="45">'205'!$P$20:$P$28,'205'!$P$30:$P$39,'205'!$P$41,'205'!$P$43:$P$44,'205'!$P$46,'205'!$P$48,'205'!$P$50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$99:$P$108,'300'!$P$110:$P$119,'300'!$P$121,'300'!$P$123:$P$124,'300'!$P$126,'300'!$P$128:$P$129,'300'!$P$131,'300'!$P$133:$P$134,'300'!$P$136,'300'!$P$138,'300'!$P$140:$P$141,'300'!$P$143:$P$145,'300'!$P$147,'300'!$P$149,'300'!$P$151,'300'!$P$153,'300'!$P$155:$P$158,'300'!$P$160:$P$163,'300'!$P$165:$P$168,'300'!$P$170:$P$171,'300'!$P$173:$P$181,'300'!$P$183:$P$184,'300'!$P$186,'300'!$P$188:$P$190,'300'!$P$192</definedName>
    <definedName name="OSRRefP22x_0" localSheetId="49">'300 &amp; 317'!$P$121:$P$130,'300 &amp; 317'!$P$132:$P$141,'300 &amp; 317'!$P$143,'300 &amp; 317'!$P$145:$P$146,'300 &amp; 317'!$P$148,'300 &amp; 317'!$P$150:$P$151,'300 &amp; 317'!$P$153,'300 &amp; 317'!$P$155:$P$156,'300 &amp; 317'!$P$158,'300 &amp; 317'!$P$160,'300 &amp; 317'!$P$162:$P$163,'300 &amp; 317'!$P$165:$P$167,'300 &amp; 317'!$P$169,'300 &amp; 317'!$P$171,'300 &amp; 317'!$P$173,'300 &amp; 317'!$P$175,'300 &amp; 317'!$P$177:$P$180,'300 &amp; 317'!$P$182:$P$185,'300 &amp; 317'!$P$187:$P$190,'300 &amp; 317'!$P$192:$P$193,'300 &amp; 317'!$P$195:$P$203,'300 &amp; 317'!$P$205:$P$206,'300 &amp; 317'!$P$208,'300 &amp; 317'!$P$210:$P$212,'300 &amp; 317'!$P$214</definedName>
    <definedName name="OSRRefP22x_0" localSheetId="50">'301'!$P$20:$P$28,'301'!$P$30:$P$39,'301'!$P$41:$P$42,'301'!$P$44,'301'!$P$46:$P$47,'301'!$P$49,'301'!$P$51,'301'!$P$53,'301'!$P$55,'301'!$P$57,'301'!$P$59,'301'!$P$61,'301'!$P$63,'301'!$P$65:$P$68,'301'!$P$70:$P$72,'301'!$P$74,'301'!$P$76:$P$81,'301'!$P$83,'301'!$P$85,'301'!$P$87,'301'!$P$89</definedName>
    <definedName name="OSRRefP22x_0" localSheetId="52">'307'!$P$31:$P$38,'307'!$P$40:$P$49,'307'!$P$51,'307'!$P$53,'307'!$P$55,'307'!$P$57,'307'!$P$59,'307'!$P$61,'307'!$P$63,'307'!$P$65:$P$66,'307'!$P$68:$P$69,'307'!$P$71:$P$74,'307'!$P$76:$P$77,'307'!$P$79</definedName>
    <definedName name="OSRRefP22x_0" localSheetId="53">'308'!$P$50:$P$59,'308'!$P$61:$P$70,'308'!$P$72,'308'!$P$74,'308'!$P$76,'308'!$P$78,'308'!$P$80,'308'!$P$82:$P$83,'308'!$P$85,'308'!$P$87:$P$88,'308'!$P$90,'308'!$P$92:$P$94,'308'!$P$96:$P$97,'308'!$P$99</definedName>
    <definedName name="OSRRefP22x_0" localSheetId="64">'309'!$P$21:$P$28,'309'!$P$30:$P$39,'309'!$P$41,'309'!$P$43,'309'!$P$45:$P$46,'309'!$P$48:$P$49,'309'!$P$51</definedName>
    <definedName name="OSRRefP22x_0" localSheetId="63">'310'!$P$27:$P$35,'310'!$P$37:$P$46,'310'!$P$48,'310'!$P$50,'310'!$P$52,'310'!$P$54:$P$55,'310'!$P$57,'310'!$P$59,'310'!$P$61,'310'!$P$63,'310'!$P$65,'310'!$P$67:$P$68,'310'!$P$70,'310'!$P$72:$P$75,'310'!$P$77,'310'!$P$79:$P$83,'310'!$P$85:$P$86,'310'!$P$88,'310'!$P$90</definedName>
    <definedName name="OSRRefP22x_0" localSheetId="71">'310 &amp; 491'!$P$31:$P$39,'310 &amp; 491'!$P$41:$P$50,'310 &amp; 491'!$P$52,'310 &amp; 491'!$P$54,'310 &amp; 491'!$P$56,'310 &amp; 491'!$P$58:$P$60,'310 &amp; 491'!$P$62,'310 &amp; 491'!$P$64,'310 &amp; 491'!$P$66,'310 &amp; 491'!$P$68,'310 &amp; 491'!$P$70,'310 &amp; 491'!$P$72,'310 &amp; 491'!$P$74,'310 &amp; 491'!$P$76:$P$78,'310 &amp; 491'!$P$80:$P$81,'310 &amp; 491'!$P$83:$P$87,'310 &amp; 491'!$P$89,'310 &amp; 491'!$P$91:$P$101,'310 &amp; 491'!$P$103:$P$104,'310 &amp; 491'!$P$106,'310 &amp; 491'!$P$108:$P$109,'310 &amp; 491'!$P$111</definedName>
    <definedName name="OSRRefP22x_0" localSheetId="54">'311'!$P$49:$P$58,'311'!$P$60:$P$69,'311'!$P$71,'311'!$P$73,'311'!$P$75,'311'!$P$77,'311'!$P$79,'311'!$P$81:$P$82,'311'!$P$84,'311'!$P$86:$P$87,'311'!$P$89,'311'!$P$91:$P$93,'311'!$P$95:$P$96,'311'!$P$98</definedName>
    <definedName name="OSRRefP22x_0" localSheetId="65">'313'!$P$23:$P$31,'313'!$P$33:$P$42,'313'!$P$44,'313'!$P$46,'313'!$P$48,'313'!$P$50,'313'!$P$52,'313'!$P$54,'313'!$P$56:$P$58,'313'!$P$60:$P$61,'313'!$P$63</definedName>
    <definedName name="OSRRefP22x_0" localSheetId="57">'315'!$P$69:$P$77,'315'!$P$79:$P$88,'315'!$P$90,'315'!$P$92,'315'!$P$94,'315'!$P$96,'315'!$P$98,'315'!$P$100:$P$101,'315'!$P$103,'315'!$P$105,'315'!$P$107,'315'!$P$109,'315'!$P$111:$P$113,'315'!$P$115,'315'!$P$117:$P$123,'315'!$P$125,'315'!$P$127:$P$128</definedName>
    <definedName name="OSRRefP22x_0" localSheetId="60">'316'!$P$30:$P$38,'316'!$P$40:$P$49,'316'!$P$51,'316'!$P$53,'316'!$P$55,'316'!$P$57,'316'!$P$59:$P$60,'316'!$P$62,'316'!$P$64,'316'!$P$66:$P$69,'316'!$P$71,'316'!$P$73</definedName>
    <definedName name="OSRRefP22x_0" localSheetId="62">'317'!$P$47:$P$56,'317'!$P$58:$P$67,'317'!$P$69,'317'!$P$71,'317'!$P$73,'317'!$P$75,'317'!$P$77:$P$78,'317'!$P$80,'317'!$P$82,'317'!$P$84,'317'!$P$86:$P$88,'317'!$P$90</definedName>
    <definedName name="OSRRefP22x_0" localSheetId="66">'321'!$P$25:$P$33,'321'!$P$35:$P$44,'321'!$P$46,'321'!$P$48,'321'!$P$50,'321'!$P$52,'321'!$P$54,'321'!$P$56:$P$57,'321'!$P$59,'321'!$P$61,'321'!$P$63:$P$65,'321'!$P$67:$P$68,'321'!$P$70,'321'!$P$72</definedName>
    <definedName name="OSRRefP22x_0" localSheetId="67">'322'!$P$21:$P$28,'322'!$P$30:$P$39,'322'!$P$41,'322'!$P$43,'322'!$P$45,'322'!$P$47,'322'!$P$49,'322'!$P$51:$P$52,'322'!$P$54:$P$55,'322'!$P$57:$P$60,'322'!$P$62,'322'!$P$64</definedName>
    <definedName name="OSRRefP22x_0" localSheetId="55">'324'!$P$27:$P$34,'324'!$P$36:$P$45</definedName>
    <definedName name="OSRRefP22x_0" localSheetId="68">'325'!$P$21:$P$28,'325'!$P$30:$P$39,'325'!$P$41,'325'!$P$43,'325'!$P$45,'325'!$P$47:$P$48,'325'!$P$50,'325'!$P$52,'325'!$P$54,'325'!$P$56:$P$57,'325'!$P$59:$P$61,'325'!$P$63,'325'!$P$65:$P$67,'325'!$P$69:$P$70,'325'!$P$72</definedName>
    <definedName name="OSRRefP22x_0" localSheetId="58">'326'!$P$39:$P$47,'326'!$P$49:$P$58,'326'!$P$60,'326'!$P$62,'326'!$P$64,'326'!$P$66,'326'!$P$68,'326'!$P$70,'326'!$P$72:$P$73,'326'!$P$75,'326'!$P$77,'326'!$P$79,'326'!$P$81,'326'!$P$83,'326'!$P$85:$P$87,'326'!$P$89:$P$90,'326'!$P$92:$P$97,'326'!$P$99:$P$100,'326'!$P$102,'326'!$P$104:$P$105,'326'!$P$107</definedName>
    <definedName name="OSRRefP22x_0" localSheetId="69">'327'!$P$24</definedName>
    <definedName name="OSRRefP22x_0" localSheetId="51">'330'!$P$31:$P$38,'330'!$P$40:$P$49,'330'!$P$51,'330'!$P$53,'330'!$P$55,'330'!$P$57,'330'!$P$59,'330'!$P$61,'330'!$P$63,'330'!$P$65:$P$66,'330'!$P$68:$P$69,'330'!$P$71:$P$74,'330'!$P$76:$P$77,'330'!$P$79</definedName>
    <definedName name="OSRRefP22x_0" localSheetId="56">'331'!$P$69:$P$77,'331'!$P$79:$P$88,'331'!$P$90,'331'!$P$92,'331'!$P$94,'331'!$P$96,'331'!$P$98,'331'!$P$100,'331'!$P$102:$P$103,'331'!$P$105:$P$106,'331'!$P$108,'331'!$P$110,'331'!$P$112,'331'!$P$114,'331'!$P$116,'331'!$P$118:$P$120,'331'!$P$122:$P$124,'331'!$P$126:$P$127,'331'!$P$129:$P$136,'331'!$P$138:$P$139,'331'!$P$141,'331'!$P$143:$P$144,'331'!$P$146</definedName>
    <definedName name="OSRRefP22x_0" localSheetId="59">'332'!$P$30:$P$38,'332'!$P$40:$P$49,'332'!$P$51,'332'!$P$53,'332'!$P$55,'332'!$P$57,'332'!$P$59:$P$60,'332'!$P$62,'332'!$P$64,'332'!$P$66:$P$69,'332'!$P$71,'332'!$P$73</definedName>
    <definedName name="OSRRefP22x_0" localSheetId="73">'405'!$P$23:$P$30,'405'!$P$32:$P$41,'405'!$P$43,'405'!$P$45,'405'!$P$47:$P$48,'405'!$P$50,'405'!$P$52,'405'!$P$54,'405'!$P$56:$P$57,'405'!$P$59:$P$62,'405'!$P$64,'405'!$P$66:$P$74,'405'!$P$76,'405'!$P$78,'405'!$P$80</definedName>
    <definedName name="OSRRefP22x_0" localSheetId="74">'406'!$P$20,'406'!$P$22,'406'!$P$24,'406'!$P$26,'406'!$P$28</definedName>
    <definedName name="OSRRefP22x_0" localSheetId="75">'411'!$P$20:$P$28,'411'!$P$30:$P$39,'411'!$P$41,'411'!$P$43,'411'!$P$45:$P$46,'411'!$P$48,'411'!$P$50,'411'!$P$52:$P$53,'411'!$P$55:$P$58,'411'!$P$60:$P$66,'411'!$P$68,'411'!$P$70,'411'!$P$72</definedName>
    <definedName name="OSRRefP22x_0" localSheetId="76">'412'!$P$22:$P$29,'412'!$P$31:$P$40,'412'!$P$42,'412'!$P$44,'412'!$P$46:$P$47,'412'!$P$49,'412'!$P$51,'412'!$P$53,'412'!$P$55:$P$56,'412'!$P$58,'412'!$P$60:$P$63,'412'!$P$65:$P$69,'412'!$P$71:$P$72,'412'!$P$74</definedName>
    <definedName name="OSRRefP22x_0" localSheetId="78">'413'!$P$23:$P$31,'413'!$P$33:$P$42,'413'!$P$44,'413'!$P$46,'413'!$P$48,'413'!$P$50,'413'!$P$52,'413'!$P$54:$P$55,'413'!$P$57:$P$58,'413'!$P$60:$P$67,'413'!$P$69:$P$70</definedName>
    <definedName name="OSRRefP22x_0" localSheetId="79">'414'!$P$24:$P$32,'414'!$P$34:$P$43,'414'!$P$45,'414'!$P$47,'414'!$P$49,'414'!$P$51,'414'!$P$53,'414'!$P$55,'414'!$P$57,'414'!$P$59,'414'!$P$61,'414'!$P$63:$P$65,'414'!$P$67,'414'!$P$69,'414'!$P$71</definedName>
    <definedName name="OSRRefP22x_0" localSheetId="80">'415'!$P$27:$P$35,'415'!$P$37:$P$46,'415'!$P$48,'415'!$P$50,'415'!$P$52,'415'!$P$54:$P$55,'415'!$P$57,'415'!$P$59,'415'!$P$61,'415'!$P$63,'415'!$P$65:$P$66,'415'!$P$68:$P$72,'415'!$P$74,'415'!$P$76:$P$82,'415'!$P$84:$P$85,'415'!$P$87</definedName>
    <definedName name="OSRRefP22x_0" localSheetId="81">'418'!$P$23:$P$30,'418'!$P$32:$P$41,'418'!$P$43,'418'!$P$45,'418'!$P$47:$P$48,'418'!$P$50,'418'!$P$52,'418'!$P$54,'418'!$P$56:$P$58,'418'!$P$60:$P$61,'418'!$P$63,'418'!$P$65:$P$74,'418'!$P$76:$P$77,'418'!$P$79</definedName>
    <definedName name="OSRRefP22x_0" localSheetId="82">'423'!$P$20:$P$27,'423'!$P$29:$P$38,'423'!$P$40,'423'!$P$42:$P$43,'423'!$P$45,'423'!$P$47,'423'!$P$49</definedName>
    <definedName name="OSRRefP22x_0" localSheetId="83">'424'!$P$20,'424'!$P$22,'424'!$P$24,'424'!$P$26</definedName>
    <definedName name="OSRRefP22x_0" localSheetId="84">'425'!$P$20:$P$24,'425'!$P$26,'425'!$P$28,'425'!$P$30,'425'!$P$32</definedName>
    <definedName name="OSRRefP22x_0" localSheetId="87">'430'!$P$20:$P$28,'430'!$P$30:$P$39,'430'!$P$41:$P$43,'430'!$P$45:$P$46,'430'!$P$48,'430'!$P$50</definedName>
    <definedName name="OSRRefP22x_0" localSheetId="88">'433'!$P$27:$P$36,'433'!$P$38:$P$47,'433'!$P$49,'433'!$P$51,'433'!$P$53,'433'!$P$55,'433'!$P$57,'433'!$P$59,'433'!$P$61,'433'!$P$63,'433'!$P$65,'433'!$P$67:$P$68,'433'!$P$70:$P$73,'433'!$P$75:$P$82,'433'!$P$84</definedName>
    <definedName name="OSRRefP22x_0" localSheetId="89">'435'!$P$20</definedName>
    <definedName name="OSRRefP22x_0" localSheetId="90">'444'!$P$27:$P$36,'444'!$P$38:$P$47,'444'!$P$49,'444'!$P$51,'444'!$P$53,'444'!$P$55,'444'!$P$57,'444'!$P$59,'444'!$P$61,'444'!$P$63,'444'!$P$65,'444'!$P$67:$P$69,'444'!$P$71:$P$73,'444'!$P$75:$P$83,'444'!$P$85:$P$86,'444'!$P$88</definedName>
    <definedName name="OSRRefP22x_0" localSheetId="91">'450'!$P$22:$P$31,'450'!$P$33:$P$42,'450'!$P$44,'450'!$P$46,'450'!$P$48,'450'!$P$50,'450'!$P$52,'450'!$P$54,'450'!$P$56,'450'!$P$58,'450'!$P$60,'450'!$P$62,'450'!$P$64,'450'!$P$66:$P$68,'450'!$P$70:$P$75,'450'!$P$77:$P$78,'450'!$P$80</definedName>
    <definedName name="OSRRefP22x_0" localSheetId="72">'491'!$P$28:$P$36,'491'!$P$38:$P$47,'491'!$P$49,'491'!$P$51,'491'!$P$53,'491'!$P$55:$P$57,'491'!$P$59,'491'!$P$61,'491'!$P$63,'491'!$P$65,'491'!$P$67,'491'!$P$69,'491'!$P$71:$P$73,'491'!$P$75:$P$76,'491'!$P$78:$P$82,'491'!$P$84,'491'!$P$86:$P$96,'491'!$P$98:$P$99,'491'!$P$101,'491'!$P$103:$P$104,'491'!$P$106</definedName>
    <definedName name="OSRRefP22x_0" localSheetId="86">'492'!$P$27:$P$36,'492'!$P$38:$P$47,'492'!$P$49,'492'!$P$51,'492'!$P$53,'492'!$P$55,'492'!$P$57,'492'!$P$59,'492'!$P$61,'492'!$P$63,'492'!$P$65,'492'!$P$67,'492'!$P$69:$P$71,'492'!$P$73:$P$76,'492'!$P$78:$P$87,'492'!$P$89:$P$90,'492'!$P$92,'492'!$P$94</definedName>
    <definedName name="OSRRefP22x_0" localSheetId="93">'501'!$P$21:$P$30,'501'!$P$32:$P$41,'501'!$P$43,'501'!$P$45,'501'!$P$47,'501'!$P$49:$P$50,'501'!$P$52,'501'!$P$54,'501'!$P$56,'501'!$P$58:$P$59,'501'!$P$61:$P$62,'501'!$P$64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7">'Div 3'!$P$103:$P$112,'Div 3'!$P$114:$P$123,'Div 3'!$P$125,'Div 3'!$P$127:$P$128,'Div 3'!$P$130,'Div 3'!$P$132:$P$133,'Div 3'!$P$135,'Div 3'!$P$137:$P$138,'Div 3'!$P$140,'Div 3'!$P$142,'Div 3'!$P$144:$P$145,'Div 3'!$P$147:$P$149,'Div 3'!$P$151,'Div 3'!$P$153,'Div 3'!$P$155,'Div 3'!$P$157,'Div 3'!$P$159,'Div 3'!$P$161:$P$164,'Div 3'!$P$166:$P$169,'Div 3'!$P$171:$P$175,'Div 3'!$P$177:$P$178,'Div 3'!$P$180:$P$188,'Div 3'!$P$190:$P$191,'Div 3'!$P$193,'Div 3'!$P$195:$P$197,'Div 3'!$P$199</definedName>
    <definedName name="OSRRefP22x_0" localSheetId="70">'Div 4'!$P$30:$P$39,'Div 4'!$P$41:$P$50,'Div 4'!$P$52,'Div 4'!$P$54,'Div 4'!$P$56,'Div 4'!$P$58:$P$60,'Div 4'!$P$62,'Div 4'!$P$64,'Div 4'!$P$66,'Div 4'!$P$68,'Div 4'!$P$70,'Div 4'!$P$72,'Div 4'!$P$74,'Div 4'!$P$76,'Div 4'!$P$78:$P$80,'Div 4'!$P$82:$P$83,'Div 4'!$P$85:$P$89,'Div 4'!$P$91,'Div 4'!$P$93:$P$103,'Div 4'!$P$105:$P$106,'Div 4'!$P$108,'Div 4'!$P$110:$P$111,'Div 4'!$P$113</definedName>
    <definedName name="OSRRefP22x_0" localSheetId="92">'Div 5'!$P$21:$P$30,'Div 5'!$P$32:$P$41,'Div 5'!$P$43,'Div 5'!$P$45,'Div 5'!$P$47,'Div 5'!$P$49:$P$50,'Div 5'!$P$52,'Div 5'!$P$54,'Div 5'!$P$56,'Div 5'!$P$58:$P$59,'Div 5'!$P$61:$P$62,'Div 5'!$P$64</definedName>
    <definedName name="OSRRefP22x_0" localSheetId="61">'Div 6'!$P$47:$P$56,'Div 6'!$P$58:$P$67,'Div 6'!$P$69,'Div 6'!$P$71,'Div 6'!$P$73,'Div 6'!$P$75,'Div 6'!$P$77:$P$78,'Div 6'!$P$80,'Div 6'!$P$82,'Div 6'!$P$84,'Div 6'!$P$86:$P$88,'Div 6'!$P$90</definedName>
    <definedName name="OSRRefP22x_0" localSheetId="2">Summary!$P$129:$P$138,Summary!$P$140:$P$149,Summary!$P$151,Summary!$P$153:$P$154,Summary!$P$156,Summary!$P$158:$P$160,Summary!$P$162,Summary!$P$164:$P$165,Summary!$P$167,Summary!$P$169,Summary!$P$171:$P$172,Summary!$P$174:$P$176,Summary!$P$178,Summary!$P$180,Summary!$P$182,Summary!$P$184,Summary!$P$186,Summary!$P$188,Summary!$P$190:$P$193,Summary!$P$195:$P$198,Summary!$P$200:$P$204,Summary!$P$206:$P$207,Summary!$P$209:$P$219,Summary!$P$221:$P$222,Summary!$P$224,Summary!$P$226:$P$228,Summary!$P$230</definedName>
    <definedName name="OSRRefP25x_0" localSheetId="42">'202'!$P$69:$P$71</definedName>
    <definedName name="OSRRefP25x_0" localSheetId="48">'300'!$P$195:$P$198</definedName>
    <definedName name="OSRRefP25x_0" localSheetId="49">'300 &amp; 317'!$P$217:$P$221</definedName>
    <definedName name="OSRRefP25x_0" localSheetId="50">'301'!$P$92:$P$93</definedName>
    <definedName name="OSRRefP25x_0" localSheetId="53">'308'!$P$102:$P$104</definedName>
    <definedName name="OSRRefP25x_0" localSheetId="71">'310 &amp; 491'!$P$114:$P$116</definedName>
    <definedName name="OSRRefP25x_0" localSheetId="54">'311'!$P$101:$P$103</definedName>
    <definedName name="OSRRefP25x_0" localSheetId="57">'315'!$P$131:$P$133</definedName>
    <definedName name="OSRRefP25x_0" localSheetId="60">'316'!$P$76</definedName>
    <definedName name="OSRRefP25x_0" localSheetId="62">'317'!$P$93:$P$94</definedName>
    <definedName name="OSRRefP25x_0" localSheetId="56">'331'!$P$149:$P$151</definedName>
    <definedName name="OSRRefP25x_0" localSheetId="59">'332'!$P$76</definedName>
    <definedName name="OSRRefP25x_0" localSheetId="75">'411'!$P$75:$P$76</definedName>
    <definedName name="OSRRefP25x_0" localSheetId="81">'418'!$P$82</definedName>
    <definedName name="OSRRefP25x_0" localSheetId="82">'423'!$P$52</definedName>
    <definedName name="OSRRefP25x_0" localSheetId="85">'455'!$P$21:$P$22</definedName>
    <definedName name="OSRRefP25x_0" localSheetId="72">'491'!$P$109:$P$111</definedName>
    <definedName name="OSRRefP25x_0" localSheetId="93">'501'!$P$67</definedName>
    <definedName name="OSRRefP25x_0" localSheetId="39">'Div 2'!$P$98:$P$100</definedName>
    <definedName name="OSRRefP25x_0" localSheetId="47">'Div 3'!$P$202:$P$205</definedName>
    <definedName name="OSRRefP25x_0" localSheetId="70">'Div 4'!$P$116:$P$118</definedName>
    <definedName name="OSRRefP25x_0" localSheetId="92">'Div 5'!$P$67</definedName>
    <definedName name="OSRRefP25x_0" localSheetId="61">'Div 6'!$P$93:$P$94</definedName>
    <definedName name="OSRRefP25x_0" localSheetId="2">Summary!$P$233:$P$239</definedName>
    <definedName name="OSRRefT13x_0" localSheetId="41">'201'!$T$13</definedName>
    <definedName name="OSRRefT13x_0" localSheetId="42">'202'!$T$13</definedName>
    <definedName name="OSRRefT13x_0" localSheetId="48">'300'!$T$13:$T$69</definedName>
    <definedName name="OSRRefT13x_0" localSheetId="49">'300 &amp; 317'!$T$13:$T$84</definedName>
    <definedName name="OSRRefT13x_0" localSheetId="52">'307'!$T$13:$T$20</definedName>
    <definedName name="OSRRefT13x_0" localSheetId="53">'308'!$T$13:$T$31</definedName>
    <definedName name="OSRRefT13x_0" localSheetId="64">'309'!$T$13</definedName>
    <definedName name="OSRRefT13x_0" localSheetId="63">'310'!$T$13:$T$16</definedName>
    <definedName name="OSRRefT13x_0" localSheetId="71">'310 &amp; 491'!$T$13:$T$20</definedName>
    <definedName name="OSRRefT13x_0" localSheetId="54">'311'!$T$13:$T$30</definedName>
    <definedName name="OSRRefT13x_0" localSheetId="65">'313'!$T$13</definedName>
    <definedName name="OSRRefT13x_0" localSheetId="57">'315'!$T$13:$T$48</definedName>
    <definedName name="OSRRefT13x_0" localSheetId="60">'316'!$T$13:$T$22</definedName>
    <definedName name="OSRRefT13x_0" localSheetId="62">'317'!$T$13:$T$29</definedName>
    <definedName name="OSRRefT13x_0" localSheetId="66">'321'!$T$13:$T$15</definedName>
    <definedName name="OSRRefT13x_0" localSheetId="55">'324'!$T$13:$T$16</definedName>
    <definedName name="OSRRefT13x_0" localSheetId="58">'326'!$T$13:$T$29</definedName>
    <definedName name="OSRRefT13x_0" localSheetId="69">'327'!$T$13:$T$14</definedName>
    <definedName name="OSRRefT13x_0" localSheetId="51">'330'!$T$13:$T$20</definedName>
    <definedName name="OSRRefT13x_0" localSheetId="56">'331'!$T$13:$T$48</definedName>
    <definedName name="OSRRefT13x_0" localSheetId="59">'332'!$T$13:$T$22</definedName>
    <definedName name="OSRRefT13x_0" localSheetId="73">'405'!$T$13:$T$14</definedName>
    <definedName name="OSRRefT13x_0" localSheetId="76">'412'!$T$13</definedName>
    <definedName name="OSRRefT13x_0" localSheetId="78">'413'!$T$13:$T$14</definedName>
    <definedName name="OSRRefT13x_0" localSheetId="79">'414'!$T$13:$T$15</definedName>
    <definedName name="OSRRefT13x_0" localSheetId="80">'415'!$T$13:$T$16</definedName>
    <definedName name="OSRRefT13x_0" localSheetId="81">'418'!$T$13:$T$14</definedName>
    <definedName name="OSRRefT13x_0" localSheetId="88">'433'!$T$13:$T$16</definedName>
    <definedName name="OSRRefT13x_0" localSheetId="90">'444'!$T$13:$T$16</definedName>
    <definedName name="OSRRefT13x_0" localSheetId="91">'450'!$T$13</definedName>
    <definedName name="OSRRefT13x_0" localSheetId="72">'491'!$T$13:$T$17</definedName>
    <definedName name="OSRRefT13x_0" localSheetId="86">'492'!$T$13:$T$16</definedName>
    <definedName name="OSRRefT13x_0" localSheetId="93">'501'!$T$13</definedName>
    <definedName name="OSRRefT13x_0" localSheetId="39">'Div 2'!$T$13</definedName>
    <definedName name="OSRRefT13x_0" localSheetId="47">'Div 3'!$T$13:$T$71</definedName>
    <definedName name="OSRRefT13x_0" localSheetId="70">'Div 4'!$T$13:$T$19</definedName>
    <definedName name="OSRRefT13x_0" localSheetId="92">'Div 5'!$T$13</definedName>
    <definedName name="OSRRefT13x_0" localSheetId="61">'Div 6'!$T$13:$T$29</definedName>
    <definedName name="OSRRefT13x_0" localSheetId="2">Summary!$T$13:$T$90</definedName>
    <definedName name="OSRRefT16x_0" localSheetId="48">'300'!$T$72:$T$93</definedName>
    <definedName name="OSRRefT16x_0" localSheetId="49">'300 &amp; 317'!$T$87:$T$115</definedName>
    <definedName name="OSRRefT16x_0" localSheetId="52">'307'!$T$23:$T$25</definedName>
    <definedName name="OSRRefT16x_0" localSheetId="53">'308'!$T$34:$T$44</definedName>
    <definedName name="OSRRefT16x_0" localSheetId="63">'310'!$T$19:$T$21</definedName>
    <definedName name="OSRRefT16x_0" localSheetId="71">'310 &amp; 491'!$T$23:$T$25</definedName>
    <definedName name="OSRRefT16x_0" localSheetId="54">'311'!$T$33:$T$43</definedName>
    <definedName name="OSRRefT16x_0" localSheetId="65">'313'!$T$16:$T$17</definedName>
    <definedName name="OSRRefT16x_0" localSheetId="57">'315'!$T$51:$T$63</definedName>
    <definedName name="OSRRefT16x_0" localSheetId="62">'317'!$T$32:$T$41</definedName>
    <definedName name="OSRRefT16x_0" localSheetId="66">'321'!$T$18:$T$19</definedName>
    <definedName name="OSRRefT16x_0" localSheetId="67">'322'!$T$15</definedName>
    <definedName name="OSRRefT16x_0" localSheetId="55">'324'!$T$19:$T$21</definedName>
    <definedName name="OSRRefT16x_0" localSheetId="68">'325'!$T$15</definedName>
    <definedName name="OSRRefT16x_0" localSheetId="58">'326'!$T$32:$T$33</definedName>
    <definedName name="OSRRefT16x_0" localSheetId="69">'327'!$T$17:$T$18</definedName>
    <definedName name="OSRRefT16x_0" localSheetId="51">'330'!$T$23:$T$25</definedName>
    <definedName name="OSRRefT16x_0" localSheetId="56">'331'!$T$51:$T$63</definedName>
    <definedName name="OSRRefT16x_0" localSheetId="73">'405'!$T$17</definedName>
    <definedName name="OSRRefT16x_0" localSheetId="76">'412'!$T$16</definedName>
    <definedName name="OSRRefT16x_0" localSheetId="78">'413'!$T$17</definedName>
    <definedName name="OSRRefT16x_0" localSheetId="79">'414'!$T$18</definedName>
    <definedName name="OSRRefT16x_0" localSheetId="80">'415'!$T$19:$T$21</definedName>
    <definedName name="OSRRefT16x_0" localSheetId="81">'418'!$T$17</definedName>
    <definedName name="OSRRefT16x_0" localSheetId="88">'433'!$T$19:$T$21</definedName>
    <definedName name="OSRRefT16x_0" localSheetId="90">'444'!$T$19:$T$21</definedName>
    <definedName name="OSRRefT16x_0" localSheetId="91">'450'!$T$16</definedName>
    <definedName name="OSRRefT16x_0" localSheetId="72">'491'!$T$20:$T$22</definedName>
    <definedName name="OSRRefT16x_0" localSheetId="86">'492'!$T$19:$T$21</definedName>
    <definedName name="OSRRefT16x_0" localSheetId="47">'Div 3'!$T$74:$T$97</definedName>
    <definedName name="OSRRefT16x_0" localSheetId="70">'Div 4'!$T$22:$T$24</definedName>
    <definedName name="OSRRefT16x_0" localSheetId="61">'Div 6'!$T$32:$T$41</definedName>
    <definedName name="OSRRefT16x_0" localSheetId="2">Summary!$T$93:$T$123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'300'!$T$99:$T$108</definedName>
    <definedName name="OSRRefT22_0x_0" localSheetId="49">'300 &amp; 317'!$T$121:$T$130</definedName>
    <definedName name="OSRRefT22_0x_0" localSheetId="50">'301'!$T$20:$T$28</definedName>
    <definedName name="OSRRefT22_0x_0" localSheetId="52">'307'!$T$31:$T$38</definedName>
    <definedName name="OSRRefT22_0x_0" localSheetId="53">'308'!$T$50:$T$59</definedName>
    <definedName name="OSRRefT22_0x_0" localSheetId="64">'309'!$T$21:$T$28</definedName>
    <definedName name="OSRRefT22_0x_0" localSheetId="63">'310'!$T$27:$T$35</definedName>
    <definedName name="OSRRefT22_0x_0" localSheetId="71">'310 &amp; 491'!$T$31:$T$39</definedName>
    <definedName name="OSRRefT22_0x_0" localSheetId="54">'311'!$T$49:$T$58</definedName>
    <definedName name="OSRRefT22_0x_0" localSheetId="65">'313'!$T$23:$T$31</definedName>
    <definedName name="OSRRefT22_0x_0" localSheetId="57">'315'!$T$69:$T$77</definedName>
    <definedName name="OSRRefT22_0x_0" localSheetId="60">'316'!$T$30:$T$38</definedName>
    <definedName name="OSRRefT22_0x_0" localSheetId="62">'317'!$T$47:$T$56</definedName>
    <definedName name="OSRRefT22_0x_0" localSheetId="66">'321'!$T$25:$T$33</definedName>
    <definedName name="OSRRefT22_0x_0" localSheetId="67">'322'!$T$21:$T$28</definedName>
    <definedName name="OSRRefT22_0x_0" localSheetId="55">'324'!$T$27:$T$34</definedName>
    <definedName name="OSRRefT22_0x_0" localSheetId="68">'325'!$T$21:$T$28</definedName>
    <definedName name="OSRRefT22_0x_0" localSheetId="58">'326'!$T$39:$T$47</definedName>
    <definedName name="OSRRefT22_0x_0" localSheetId="69">'327'!$T$24</definedName>
    <definedName name="OSRRefT22_0x_0" localSheetId="51">'330'!$T$31:$T$38</definedName>
    <definedName name="OSRRefT22_0x_0" localSheetId="56">'331'!$T$69:$T$77</definedName>
    <definedName name="OSRRefT22_0x_0" localSheetId="59">'332'!$T$30:$T$38</definedName>
    <definedName name="OSRRefT22_0x_0" localSheetId="73">'405'!$T$23:$T$30</definedName>
    <definedName name="OSRRefT22_0x_0" localSheetId="74">'406'!$T$20</definedName>
    <definedName name="OSRRefT22_0x_0" localSheetId="75">'411'!$T$20:$T$28</definedName>
    <definedName name="OSRRefT22_0x_0" localSheetId="76">'412'!$T$22:$T$29</definedName>
    <definedName name="OSRRefT22_0x_0" localSheetId="78">'413'!$T$23:$T$31</definedName>
    <definedName name="OSRRefT22_0x_0" localSheetId="79">'414'!$T$24:$T$32</definedName>
    <definedName name="OSRRefT22_0x_0" localSheetId="80">'415'!$T$27:$T$35</definedName>
    <definedName name="OSRRefT22_0x_0" localSheetId="81">'418'!$T$23:$T$30</definedName>
    <definedName name="OSRRefT22_0x_0" localSheetId="82">'423'!$T$20:$T$27</definedName>
    <definedName name="OSRRefT22_0x_0" localSheetId="83">'424'!$T$20</definedName>
    <definedName name="OSRRefT22_0x_0" localSheetId="84">'425'!$T$20:$T$24</definedName>
    <definedName name="OSRRefT22_0x_0" localSheetId="87">'430'!$T$20:$T$28</definedName>
    <definedName name="OSRRefT22_0x_0" localSheetId="88">'433'!$T$27:$T$36</definedName>
    <definedName name="OSRRefT22_0x_0" localSheetId="89">'435'!$T$20</definedName>
    <definedName name="OSRRefT22_0x_0" localSheetId="90">'444'!$T$27:$T$36</definedName>
    <definedName name="OSRRefT22_0x_0" localSheetId="91">'450'!$T$22:$T$31</definedName>
    <definedName name="OSRRefT22_0x_0" localSheetId="72">'491'!$T$28:$T$36</definedName>
    <definedName name="OSRRefT22_0x_0" localSheetId="86">'492'!$T$27:$T$36</definedName>
    <definedName name="OSRRefT22_0x_0" localSheetId="93">'501'!$T$21:$T$30</definedName>
    <definedName name="OSRRefT22_0x_0" localSheetId="39">'Div 2'!$T$21:$T$31</definedName>
    <definedName name="OSRRefT22_0x_0" localSheetId="47">'Div 3'!$T$103:$T$112</definedName>
    <definedName name="OSRRefT22_0x_0" localSheetId="70">'Div 4'!$T$30:$T$39</definedName>
    <definedName name="OSRRefT22_0x_0" localSheetId="92">'Div 5'!$T$21:$T$30</definedName>
    <definedName name="OSRRefT22_0x_0" localSheetId="61">'Div 6'!$T$47:$T$56</definedName>
    <definedName name="OSRRefT22_0x_0" localSheetId="2">Summary!$T$129:$T$138</definedName>
    <definedName name="OSRRefT22_10x_0" localSheetId="41">'201'!$T$58</definedName>
    <definedName name="OSRRefT22_10x_0" localSheetId="42">'202'!$T$62</definedName>
    <definedName name="OSRRefT22_10x_0" localSheetId="43">'203'!$T$61</definedName>
    <definedName name="OSRRefT22_10x_0" localSheetId="44">'204'!$T$63</definedName>
    <definedName name="OSRRefT22_10x_0" localSheetId="48">'300'!$T$140:$T$141</definedName>
    <definedName name="OSRRefT22_10x_0" localSheetId="49">'300 &amp; 317'!$T$162:$T$163</definedName>
    <definedName name="OSRRefT22_10x_0" localSheetId="50">'301'!$T$59</definedName>
    <definedName name="OSRRefT22_10x_0" localSheetId="52">'307'!$T$68:$T$69</definedName>
    <definedName name="OSRRefT22_10x_0" localSheetId="53">'308'!$T$90</definedName>
    <definedName name="OSRRefT22_10x_0" localSheetId="63">'310'!$T$65</definedName>
    <definedName name="OSRRefT22_10x_0" localSheetId="71">'310 &amp; 491'!$T$70</definedName>
    <definedName name="OSRRefT22_10x_0" localSheetId="54">'311'!$T$89</definedName>
    <definedName name="OSRRefT22_10x_0" localSheetId="65">'313'!$T$63</definedName>
    <definedName name="OSRRefT22_10x_0" localSheetId="57">'315'!$T$107</definedName>
    <definedName name="OSRRefT22_10x_0" localSheetId="60">'316'!$T$71</definedName>
    <definedName name="OSRRefT22_10x_0" localSheetId="62">'317'!$T$86:$T$88</definedName>
    <definedName name="OSRRefT22_10x_0" localSheetId="66">'321'!$T$63:$T$65</definedName>
    <definedName name="OSRRefT22_10x_0" localSheetId="67">'322'!$T$62</definedName>
    <definedName name="OSRRefT22_10x_0" localSheetId="68">'325'!$T$59:$T$61</definedName>
    <definedName name="OSRRefT22_10x_0" localSheetId="58">'326'!$T$77</definedName>
    <definedName name="OSRRefT22_10x_0" localSheetId="51">'330'!$T$68:$T$69</definedName>
    <definedName name="OSRRefT22_10x_0" localSheetId="56">'331'!$T$108</definedName>
    <definedName name="OSRRefT22_10x_0" localSheetId="59">'332'!$T$71</definedName>
    <definedName name="OSRRefT22_10x_0" localSheetId="73">'405'!$T$64</definedName>
    <definedName name="OSRRefT22_10x_0" localSheetId="75">'411'!$T$68</definedName>
    <definedName name="OSRRefT22_10x_0" localSheetId="76">'412'!$T$60:$T$63</definedName>
    <definedName name="OSRRefT22_10x_0" localSheetId="78">'413'!$T$69:$T$70</definedName>
    <definedName name="OSRRefT22_10x_0" localSheetId="79">'414'!$T$61</definedName>
    <definedName name="OSRRefT22_10x_0" localSheetId="80">'415'!$T$65:$T$66</definedName>
    <definedName name="OSRRefT22_10x_0" localSheetId="81">'418'!$T$63</definedName>
    <definedName name="OSRRefT22_10x_0" localSheetId="88">'433'!$T$65</definedName>
    <definedName name="OSRRefT22_10x_0" localSheetId="90">'444'!$T$65</definedName>
    <definedName name="OSRRefT22_10x_0" localSheetId="91">'450'!$T$60</definedName>
    <definedName name="OSRRefT22_10x_0" localSheetId="72">'491'!$T$67</definedName>
    <definedName name="OSRRefT22_10x_0" localSheetId="86">'492'!$T$65</definedName>
    <definedName name="OSRRefT22_10x_0" localSheetId="93">'501'!$T$61:$T$62</definedName>
    <definedName name="OSRRefT22_10x_0" localSheetId="39">'Div 2'!$T$62</definedName>
    <definedName name="OSRRefT22_10x_0" localSheetId="47">'Div 3'!$T$144:$T$145</definedName>
    <definedName name="OSRRefT22_10x_0" localSheetId="70">'Div 4'!$T$70</definedName>
    <definedName name="OSRRefT22_10x_0" localSheetId="92">'Div 5'!$T$61:$T$62</definedName>
    <definedName name="OSRRefT22_10x_0" localSheetId="61">'Div 6'!$T$86:$T$88</definedName>
    <definedName name="OSRRefT22_10x_0" localSheetId="2">Summary!$T$171:$T$172</definedName>
    <definedName name="OSRRefT22_11x_0" localSheetId="41">'201'!$T$60:$T$62</definedName>
    <definedName name="OSRRefT22_11x_0" localSheetId="42">'202'!$T$64</definedName>
    <definedName name="OSRRefT22_11x_0" localSheetId="43">'203'!$T$63:$T$65</definedName>
    <definedName name="OSRRefT22_11x_0" localSheetId="48">'300'!$T$143:$T$145</definedName>
    <definedName name="OSRRefT22_11x_0" localSheetId="49">'300 &amp; 317'!$T$165:$T$167</definedName>
    <definedName name="OSRRefT22_11x_0" localSheetId="50">'301'!$T$61</definedName>
    <definedName name="OSRRefT22_11x_0" localSheetId="52">'307'!$T$71:$T$74</definedName>
    <definedName name="OSRRefT22_11x_0" localSheetId="53">'308'!$T$92:$T$94</definedName>
    <definedName name="OSRRefT22_11x_0" localSheetId="63">'310'!$T$67:$T$68</definedName>
    <definedName name="OSRRefT22_11x_0" localSheetId="71">'310 &amp; 491'!$T$72</definedName>
    <definedName name="OSRRefT22_11x_0" localSheetId="54">'311'!$T$91:$T$93</definedName>
    <definedName name="OSRRefT22_11x_0" localSheetId="57">'315'!$T$109</definedName>
    <definedName name="OSRRefT22_11x_0" localSheetId="60">'316'!$T$73</definedName>
    <definedName name="OSRRefT22_11x_0" localSheetId="62">'317'!$T$90</definedName>
    <definedName name="OSRRefT22_11x_0" localSheetId="66">'321'!$T$67:$T$68</definedName>
    <definedName name="OSRRefT22_11x_0" localSheetId="67">'322'!$T$64</definedName>
    <definedName name="OSRRefT22_11x_0" localSheetId="68">'325'!$T$63</definedName>
    <definedName name="OSRRefT22_11x_0" localSheetId="58">'326'!$T$79</definedName>
    <definedName name="OSRRefT22_11x_0" localSheetId="51">'330'!$T$71:$T$74</definedName>
    <definedName name="OSRRefT22_11x_0" localSheetId="56">'331'!$T$110</definedName>
    <definedName name="OSRRefT22_11x_0" localSheetId="59">'332'!$T$73</definedName>
    <definedName name="OSRRefT22_11x_0" localSheetId="73">'405'!$T$66:$T$74</definedName>
    <definedName name="OSRRefT22_11x_0" localSheetId="75">'411'!$T$70</definedName>
    <definedName name="OSRRefT22_11x_0" localSheetId="76">'412'!$T$65:$T$69</definedName>
    <definedName name="OSRRefT22_11x_0" localSheetId="79">'414'!$T$63:$T$65</definedName>
    <definedName name="OSRRefT22_11x_0" localSheetId="80">'415'!$T$68:$T$72</definedName>
    <definedName name="OSRRefT22_11x_0" localSheetId="81">'418'!$T$65:$T$74</definedName>
    <definedName name="OSRRefT22_11x_0" localSheetId="88">'433'!$T$67:$T$68</definedName>
    <definedName name="OSRRefT22_11x_0" localSheetId="90">'444'!$T$67:$T$69</definedName>
    <definedName name="OSRRefT22_11x_0" localSheetId="91">'450'!$T$62</definedName>
    <definedName name="OSRRefT22_11x_0" localSheetId="72">'491'!$T$69</definedName>
    <definedName name="OSRRefT22_11x_0" localSheetId="86">'492'!$T$67</definedName>
    <definedName name="OSRRefT22_11x_0" localSheetId="93">'501'!$T$64</definedName>
    <definedName name="OSRRefT22_11x_0" localSheetId="39">'Div 2'!$T$64:$T$65</definedName>
    <definedName name="OSRRefT22_11x_0" localSheetId="47">'Div 3'!$T$147:$T$149</definedName>
    <definedName name="OSRRefT22_11x_0" localSheetId="70">'Div 4'!$T$72</definedName>
    <definedName name="OSRRefT22_11x_0" localSheetId="92">'Div 5'!$T$64</definedName>
    <definedName name="OSRRefT22_11x_0" localSheetId="61">'Div 6'!$T$90</definedName>
    <definedName name="OSRRefT22_11x_0" localSheetId="2">Summary!$T$174:$T$176</definedName>
    <definedName name="OSRRefT22_12x_0" localSheetId="41">'201'!$T$64</definedName>
    <definedName name="OSRRefT22_12x_0" localSheetId="42">'202'!$T$66</definedName>
    <definedName name="OSRRefT22_12x_0" localSheetId="43">'203'!$T$67</definedName>
    <definedName name="OSRRefT22_12x_0" localSheetId="48">'300'!$T$147</definedName>
    <definedName name="OSRRefT22_12x_0" localSheetId="49">'300 &amp; 317'!$T$169</definedName>
    <definedName name="OSRRefT22_12x_0" localSheetId="50">'301'!$T$63</definedName>
    <definedName name="OSRRefT22_12x_0" localSheetId="52">'307'!$T$76:$T$77</definedName>
    <definedName name="OSRRefT22_12x_0" localSheetId="53">'308'!$T$96:$T$97</definedName>
    <definedName name="OSRRefT22_12x_0" localSheetId="63">'310'!$T$70</definedName>
    <definedName name="OSRRefT22_12x_0" localSheetId="71">'310 &amp; 491'!$T$74</definedName>
    <definedName name="OSRRefT22_12x_0" localSheetId="54">'311'!$T$95:$T$96</definedName>
    <definedName name="OSRRefT22_12x_0" localSheetId="57">'315'!$T$111:$T$113</definedName>
    <definedName name="OSRRefT22_12x_0" localSheetId="66">'321'!$T$70</definedName>
    <definedName name="OSRRefT22_12x_0" localSheetId="68">'325'!$T$65:$T$67</definedName>
    <definedName name="OSRRefT22_12x_0" localSheetId="58">'326'!$T$81</definedName>
    <definedName name="OSRRefT22_12x_0" localSheetId="51">'330'!$T$76:$T$77</definedName>
    <definedName name="OSRRefT22_12x_0" localSheetId="56">'331'!$T$112</definedName>
    <definedName name="OSRRefT22_12x_0" localSheetId="73">'405'!$T$76</definedName>
    <definedName name="OSRRefT22_12x_0" localSheetId="75">'411'!$T$72</definedName>
    <definedName name="OSRRefT22_12x_0" localSheetId="76">'412'!$T$71:$T$72</definedName>
    <definedName name="OSRRefT22_12x_0" localSheetId="79">'414'!$T$67</definedName>
    <definedName name="OSRRefT22_12x_0" localSheetId="80">'415'!$T$74</definedName>
    <definedName name="OSRRefT22_12x_0" localSheetId="81">'418'!$T$76:$T$77</definedName>
    <definedName name="OSRRefT22_12x_0" localSheetId="88">'433'!$T$70:$T$73</definedName>
    <definedName name="OSRRefT22_12x_0" localSheetId="90">'444'!$T$71:$T$73</definedName>
    <definedName name="OSRRefT22_12x_0" localSheetId="91">'450'!$T$64</definedName>
    <definedName name="OSRRefT22_12x_0" localSheetId="72">'491'!$T$71:$T$73</definedName>
    <definedName name="OSRRefT22_12x_0" localSheetId="86">'492'!$T$69:$T$71</definedName>
    <definedName name="OSRRefT22_12x_0" localSheetId="39">'Div 2'!$T$67:$T$70</definedName>
    <definedName name="OSRRefT22_12x_0" localSheetId="47">'Div 3'!$T$151</definedName>
    <definedName name="OSRRefT22_12x_0" localSheetId="70">'Div 4'!$T$74</definedName>
    <definedName name="OSRRefT22_12x_0" localSheetId="2">Summary!$T$178</definedName>
    <definedName name="OSRRefT22_13x_0" localSheetId="43">'203'!$T$69</definedName>
    <definedName name="OSRRefT22_13x_0" localSheetId="48">'300'!$T$149</definedName>
    <definedName name="OSRRefT22_13x_0" localSheetId="49">'300 &amp; 317'!$T$171</definedName>
    <definedName name="OSRRefT22_13x_0" localSheetId="50">'301'!$T$65:$T$68</definedName>
    <definedName name="OSRRefT22_13x_0" localSheetId="52">'307'!$T$79</definedName>
    <definedName name="OSRRefT22_13x_0" localSheetId="53">'308'!$T$99</definedName>
    <definedName name="OSRRefT22_13x_0" localSheetId="63">'310'!$T$72:$T$75</definedName>
    <definedName name="OSRRefT22_13x_0" localSheetId="71">'310 &amp; 491'!$T$76:$T$78</definedName>
    <definedName name="OSRRefT22_13x_0" localSheetId="54">'311'!$T$98</definedName>
    <definedName name="OSRRefT22_13x_0" localSheetId="57">'315'!$T$115</definedName>
    <definedName name="OSRRefT22_13x_0" localSheetId="66">'321'!$T$72</definedName>
    <definedName name="OSRRefT22_13x_0" localSheetId="68">'325'!$T$69:$T$70</definedName>
    <definedName name="OSRRefT22_13x_0" localSheetId="58">'326'!$T$83</definedName>
    <definedName name="OSRRefT22_13x_0" localSheetId="51">'330'!$T$79</definedName>
    <definedName name="OSRRefT22_13x_0" localSheetId="56">'331'!$T$114</definedName>
    <definedName name="OSRRefT22_13x_0" localSheetId="73">'405'!$T$78</definedName>
    <definedName name="OSRRefT22_13x_0" localSheetId="76">'412'!$T$74</definedName>
    <definedName name="OSRRefT22_13x_0" localSheetId="79">'414'!$T$69</definedName>
    <definedName name="OSRRefT22_13x_0" localSheetId="80">'415'!$T$76:$T$82</definedName>
    <definedName name="OSRRefT22_13x_0" localSheetId="81">'418'!$T$79</definedName>
    <definedName name="OSRRefT22_13x_0" localSheetId="88">'433'!$T$75:$T$82</definedName>
    <definedName name="OSRRefT22_13x_0" localSheetId="90">'444'!$T$75:$T$83</definedName>
    <definedName name="OSRRefT22_13x_0" localSheetId="91">'450'!$T$66:$T$68</definedName>
    <definedName name="OSRRefT22_13x_0" localSheetId="72">'491'!$T$75:$T$76</definedName>
    <definedName name="OSRRefT22_13x_0" localSheetId="86">'492'!$T$73:$T$76</definedName>
    <definedName name="OSRRefT22_13x_0" localSheetId="39">'Div 2'!$T$72:$T$75</definedName>
    <definedName name="OSRRefT22_13x_0" localSheetId="47">'Div 3'!$T$153</definedName>
    <definedName name="OSRRefT22_13x_0" localSheetId="70">'Div 4'!$T$76</definedName>
    <definedName name="OSRRefT22_13x_0" localSheetId="2">Summary!$T$180</definedName>
    <definedName name="OSRRefT22_14x_0" localSheetId="48">'300'!$T$151</definedName>
    <definedName name="OSRRefT22_14x_0" localSheetId="49">'300 &amp; 317'!$T$173</definedName>
    <definedName name="OSRRefT22_14x_0" localSheetId="50">'301'!$T$70:$T$72</definedName>
    <definedName name="OSRRefT22_14x_0" localSheetId="63">'310'!$T$77</definedName>
    <definedName name="OSRRefT22_14x_0" localSheetId="71">'310 &amp; 491'!$T$80:$T$81</definedName>
    <definedName name="OSRRefT22_14x_0" localSheetId="57">'315'!$T$117:$T$123</definedName>
    <definedName name="OSRRefT22_14x_0" localSheetId="68">'325'!$T$72</definedName>
    <definedName name="OSRRefT22_14x_0" localSheetId="58">'326'!$T$85:$T$87</definedName>
    <definedName name="OSRRefT22_14x_0" localSheetId="56">'331'!$T$116</definedName>
    <definedName name="OSRRefT22_14x_0" localSheetId="73">'405'!$T$80</definedName>
    <definedName name="OSRRefT22_14x_0" localSheetId="79">'414'!$T$71</definedName>
    <definedName name="OSRRefT22_14x_0" localSheetId="80">'415'!$T$84:$T$85</definedName>
    <definedName name="OSRRefT22_14x_0" localSheetId="88">'433'!$T$84</definedName>
    <definedName name="OSRRefT22_14x_0" localSheetId="90">'444'!$T$85:$T$86</definedName>
    <definedName name="OSRRefT22_14x_0" localSheetId="91">'450'!$T$70:$T$75</definedName>
    <definedName name="OSRRefT22_14x_0" localSheetId="72">'491'!$T$78:$T$82</definedName>
    <definedName name="OSRRefT22_14x_0" localSheetId="86">'492'!$T$78:$T$87</definedName>
    <definedName name="OSRRefT22_14x_0" localSheetId="39">'Div 2'!$T$77:$T$78</definedName>
    <definedName name="OSRRefT22_14x_0" localSheetId="47">'Div 3'!$T$155</definedName>
    <definedName name="OSRRefT22_14x_0" localSheetId="70">'Div 4'!$T$78:$T$80</definedName>
    <definedName name="OSRRefT22_14x_0" localSheetId="2">Summary!$T$182</definedName>
    <definedName name="OSRRefT22_15x_0" localSheetId="48">'300'!$T$153</definedName>
    <definedName name="OSRRefT22_15x_0" localSheetId="49">'300 &amp; 317'!$T$175</definedName>
    <definedName name="OSRRefT22_15x_0" localSheetId="50">'301'!$T$74</definedName>
    <definedName name="OSRRefT22_15x_0" localSheetId="63">'310'!$T$79:$T$83</definedName>
    <definedName name="OSRRefT22_15x_0" localSheetId="71">'310 &amp; 491'!$T$83:$T$87</definedName>
    <definedName name="OSRRefT22_15x_0" localSheetId="57">'315'!$T$125</definedName>
    <definedName name="OSRRefT22_15x_0" localSheetId="58">'326'!$T$89:$T$90</definedName>
    <definedName name="OSRRefT22_15x_0" localSheetId="56">'331'!$T$118:$T$120</definedName>
    <definedName name="OSRRefT22_15x_0" localSheetId="80">'415'!$T$87</definedName>
    <definedName name="OSRRefT22_15x_0" localSheetId="90">'444'!$T$88</definedName>
    <definedName name="OSRRefT22_15x_0" localSheetId="91">'450'!$T$77:$T$78</definedName>
    <definedName name="OSRRefT22_15x_0" localSheetId="72">'491'!$T$84</definedName>
    <definedName name="OSRRefT22_15x_0" localSheetId="86">'492'!$T$89:$T$90</definedName>
    <definedName name="OSRRefT22_15x_0" localSheetId="39">'Div 2'!$T$80:$T$81</definedName>
    <definedName name="OSRRefT22_15x_0" localSheetId="47">'Div 3'!$T$157</definedName>
    <definedName name="OSRRefT22_15x_0" localSheetId="70">'Div 4'!$T$82:$T$83</definedName>
    <definedName name="OSRRefT22_15x_0" localSheetId="2">Summary!$T$184</definedName>
    <definedName name="OSRRefT22_16x_0" localSheetId="48">'300'!$T$155:$T$158</definedName>
    <definedName name="OSRRefT22_16x_0" localSheetId="49">'300 &amp; 317'!$T$177:$T$180</definedName>
    <definedName name="OSRRefT22_16x_0" localSheetId="50">'301'!$T$76:$T$81</definedName>
    <definedName name="OSRRefT22_16x_0" localSheetId="63">'310'!$T$85:$T$86</definedName>
    <definedName name="OSRRefT22_16x_0" localSheetId="71">'310 &amp; 491'!$T$89</definedName>
    <definedName name="OSRRefT22_16x_0" localSheetId="57">'315'!$T$127:$T$128</definedName>
    <definedName name="OSRRefT22_16x_0" localSheetId="58">'326'!$T$92:$T$97</definedName>
    <definedName name="OSRRefT22_16x_0" localSheetId="56">'331'!$T$122:$T$124</definedName>
    <definedName name="OSRRefT22_16x_0" localSheetId="91">'450'!$T$80</definedName>
    <definedName name="OSRRefT22_16x_0" localSheetId="72">'491'!$T$86:$T$96</definedName>
    <definedName name="OSRRefT22_16x_0" localSheetId="86">'492'!$T$92</definedName>
    <definedName name="OSRRefT22_16x_0" localSheetId="39">'Div 2'!$T$83:$T$87</definedName>
    <definedName name="OSRRefT22_16x_0" localSheetId="47">'Div 3'!$T$159</definedName>
    <definedName name="OSRRefT22_16x_0" localSheetId="70">'Div 4'!$T$85:$T$89</definedName>
    <definedName name="OSRRefT22_16x_0" localSheetId="2">Summary!$T$186</definedName>
    <definedName name="OSRRefT22_17x_0" localSheetId="48">'300'!$T$160:$T$163</definedName>
    <definedName name="OSRRefT22_17x_0" localSheetId="49">'300 &amp; 317'!$T$182:$T$185</definedName>
    <definedName name="OSRRefT22_17x_0" localSheetId="50">'301'!$T$83</definedName>
    <definedName name="OSRRefT22_17x_0" localSheetId="63">'310'!$T$88</definedName>
    <definedName name="OSRRefT22_17x_0" localSheetId="71">'310 &amp; 491'!$T$91:$T$101</definedName>
    <definedName name="OSRRefT22_17x_0" localSheetId="58">'326'!$T$99:$T$100</definedName>
    <definedName name="OSRRefT22_17x_0" localSheetId="56">'331'!$T$126:$T$127</definedName>
    <definedName name="OSRRefT22_17x_0" localSheetId="72">'491'!$T$98:$T$99</definedName>
    <definedName name="OSRRefT22_17x_0" localSheetId="86">'492'!$T$94</definedName>
    <definedName name="OSRRefT22_17x_0" localSheetId="39">'Div 2'!$T$89:$T$90</definedName>
    <definedName name="OSRRefT22_17x_0" localSheetId="47">'Div 3'!$T$161:$T$164</definedName>
    <definedName name="OSRRefT22_17x_0" localSheetId="70">'Div 4'!$T$91</definedName>
    <definedName name="OSRRefT22_17x_0" localSheetId="2">Summary!$T$188</definedName>
    <definedName name="OSRRefT22_18x_0" localSheetId="48">'300'!$T$165:$T$168</definedName>
    <definedName name="OSRRefT22_18x_0" localSheetId="49">'300 &amp; 317'!$T$187:$T$190</definedName>
    <definedName name="OSRRefT22_18x_0" localSheetId="50">'301'!$T$85</definedName>
    <definedName name="OSRRefT22_18x_0" localSheetId="63">'310'!$T$90</definedName>
    <definedName name="OSRRefT22_18x_0" localSheetId="71">'310 &amp; 491'!$T$103:$T$104</definedName>
    <definedName name="OSRRefT22_18x_0" localSheetId="58">'326'!$T$102</definedName>
    <definedName name="OSRRefT22_18x_0" localSheetId="56">'331'!$T$129:$T$136</definedName>
    <definedName name="OSRRefT22_18x_0" localSheetId="72">'491'!$T$101</definedName>
    <definedName name="OSRRefT22_18x_0" localSheetId="39">'Div 2'!$T$92</definedName>
    <definedName name="OSRRefT22_18x_0" localSheetId="47">'Div 3'!$T$166:$T$169</definedName>
    <definedName name="OSRRefT22_18x_0" localSheetId="70">'Div 4'!$T$93:$T$103</definedName>
    <definedName name="OSRRefT22_18x_0" localSheetId="2">Summary!$T$190:$T$193</definedName>
    <definedName name="OSRRefT22_19x_0" localSheetId="48">'300'!$T$170:$T$171</definedName>
    <definedName name="OSRRefT22_19x_0" localSheetId="49">'300 &amp; 317'!$T$192:$T$193</definedName>
    <definedName name="OSRRefT22_19x_0" localSheetId="50">'301'!$T$87</definedName>
    <definedName name="OSRRefT22_19x_0" localSheetId="71">'310 &amp; 491'!$T$106</definedName>
    <definedName name="OSRRefT22_19x_0" localSheetId="58">'326'!$T$104:$T$105</definedName>
    <definedName name="OSRRefT22_19x_0" localSheetId="56">'331'!$T$138:$T$139</definedName>
    <definedName name="OSRRefT22_19x_0" localSheetId="72">'491'!$T$103:$T$104</definedName>
    <definedName name="OSRRefT22_19x_0" localSheetId="39">'Div 2'!$T$94:$T$95</definedName>
    <definedName name="OSRRefT22_19x_0" localSheetId="47">'Div 3'!$T$171:$T$175</definedName>
    <definedName name="OSRRefT22_19x_0" localSheetId="70">'Div 4'!$T$105:$T$106</definedName>
    <definedName name="OSRRefT22_19x_0" localSheetId="2">Summary!$T$195:$T$198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'300'!$T$110:$T$119</definedName>
    <definedName name="OSRRefT22_1x_0" localSheetId="49">'300 &amp; 317'!$T$132:$T$141</definedName>
    <definedName name="OSRRefT22_1x_0" localSheetId="50">'301'!$T$30:$T$39</definedName>
    <definedName name="OSRRefT22_1x_0" localSheetId="52">'307'!$T$40:$T$49</definedName>
    <definedName name="OSRRefT22_1x_0" localSheetId="53">'308'!$T$61:$T$70</definedName>
    <definedName name="OSRRefT22_1x_0" localSheetId="64">'309'!$T$30:$T$39</definedName>
    <definedName name="OSRRefT22_1x_0" localSheetId="63">'310'!$T$37:$T$46</definedName>
    <definedName name="OSRRefT22_1x_0" localSheetId="71">'310 &amp; 491'!$T$41:$T$50</definedName>
    <definedName name="OSRRefT22_1x_0" localSheetId="54">'311'!$T$60:$T$69</definedName>
    <definedName name="OSRRefT22_1x_0" localSheetId="65">'313'!$T$33:$T$42</definedName>
    <definedName name="OSRRefT22_1x_0" localSheetId="57">'315'!$T$79:$T$88</definedName>
    <definedName name="OSRRefT22_1x_0" localSheetId="60">'316'!$T$40:$T$49</definedName>
    <definedName name="OSRRefT22_1x_0" localSheetId="62">'317'!$T$58:$T$67</definedName>
    <definedName name="OSRRefT22_1x_0" localSheetId="66">'321'!$T$35:$T$44</definedName>
    <definedName name="OSRRefT22_1x_0" localSheetId="67">'322'!$T$30:$T$39</definedName>
    <definedName name="OSRRefT22_1x_0" localSheetId="55">'324'!$T$36:$T$45</definedName>
    <definedName name="OSRRefT22_1x_0" localSheetId="68">'325'!$T$30:$T$39</definedName>
    <definedName name="OSRRefT22_1x_0" localSheetId="58">'326'!$T$49:$T$58</definedName>
    <definedName name="OSRRefT22_1x_0" localSheetId="51">'330'!$T$40:$T$49</definedName>
    <definedName name="OSRRefT22_1x_0" localSheetId="56">'331'!$T$79:$T$88</definedName>
    <definedName name="OSRRefT22_1x_0" localSheetId="59">'332'!$T$40:$T$49</definedName>
    <definedName name="OSRRefT22_1x_0" localSheetId="73">'405'!$T$32:$T$41</definedName>
    <definedName name="OSRRefT22_1x_0" localSheetId="74">'406'!$T$22</definedName>
    <definedName name="OSRRefT22_1x_0" localSheetId="75">'411'!$T$30:$T$39</definedName>
    <definedName name="OSRRefT22_1x_0" localSheetId="76">'412'!$T$31:$T$40</definedName>
    <definedName name="OSRRefT22_1x_0" localSheetId="78">'413'!$T$33:$T$42</definedName>
    <definedName name="OSRRefT22_1x_0" localSheetId="79">'414'!$T$34:$T$43</definedName>
    <definedName name="OSRRefT22_1x_0" localSheetId="80">'415'!$T$37:$T$46</definedName>
    <definedName name="OSRRefT22_1x_0" localSheetId="81">'418'!$T$32:$T$41</definedName>
    <definedName name="OSRRefT22_1x_0" localSheetId="82">'423'!$T$29:$T$38</definedName>
    <definedName name="OSRRefT22_1x_0" localSheetId="83">'424'!$T$22</definedName>
    <definedName name="OSRRefT22_1x_0" localSheetId="84">'425'!$T$26</definedName>
    <definedName name="OSRRefT22_1x_0" localSheetId="87">'430'!$T$30:$T$39</definedName>
    <definedName name="OSRRefT22_1x_0" localSheetId="88">'433'!$T$38:$T$47</definedName>
    <definedName name="OSRRefT22_1x_0" localSheetId="90">'444'!$T$38:$T$47</definedName>
    <definedName name="OSRRefT22_1x_0" localSheetId="91">'450'!$T$33:$T$42</definedName>
    <definedName name="OSRRefT22_1x_0" localSheetId="72">'491'!$T$38:$T$47</definedName>
    <definedName name="OSRRefT22_1x_0" localSheetId="86">'492'!$T$38:$T$47</definedName>
    <definedName name="OSRRefT22_1x_0" localSheetId="93">'501'!$T$32:$T$41</definedName>
    <definedName name="OSRRefT22_1x_0" localSheetId="39">'Div 2'!$T$33:$T$42</definedName>
    <definedName name="OSRRefT22_1x_0" localSheetId="47">'Div 3'!$T$114:$T$123</definedName>
    <definedName name="OSRRefT22_1x_0" localSheetId="70">'Div 4'!$T$41:$T$50</definedName>
    <definedName name="OSRRefT22_1x_0" localSheetId="92">'Div 5'!$T$32:$T$41</definedName>
    <definedName name="OSRRefT22_1x_0" localSheetId="61">'Div 6'!$T$58:$T$67</definedName>
    <definedName name="OSRRefT22_1x_0" localSheetId="2">Summary!$T$140:$T$149</definedName>
    <definedName name="OSRRefT22_20x_0" localSheetId="48">'300'!$T$173:$T$181</definedName>
    <definedName name="OSRRefT22_20x_0" localSheetId="49">'300 &amp; 317'!$T$195:$T$203</definedName>
    <definedName name="OSRRefT22_20x_0" localSheetId="50">'301'!$T$89</definedName>
    <definedName name="OSRRefT22_20x_0" localSheetId="71">'310 &amp; 491'!$T$108:$T$109</definedName>
    <definedName name="OSRRefT22_20x_0" localSheetId="58">'326'!$T$107</definedName>
    <definedName name="OSRRefT22_20x_0" localSheetId="56">'331'!$T$141</definedName>
    <definedName name="OSRRefT22_20x_0" localSheetId="72">'491'!$T$106</definedName>
    <definedName name="OSRRefT22_20x_0" localSheetId="47">'Div 3'!$T$177:$T$178</definedName>
    <definedName name="OSRRefT22_20x_0" localSheetId="70">'Div 4'!$T$108</definedName>
    <definedName name="OSRRefT22_20x_0" localSheetId="2">Summary!$T$200:$T$204</definedName>
    <definedName name="OSRRefT22_21x_0" localSheetId="48">'300'!$T$183:$T$184</definedName>
    <definedName name="OSRRefT22_21x_0" localSheetId="49">'300 &amp; 317'!$T$205:$T$206</definedName>
    <definedName name="OSRRefT22_21x_0" localSheetId="71">'310 &amp; 491'!$T$111</definedName>
    <definedName name="OSRRefT22_21x_0" localSheetId="56">'331'!$T$143:$T$144</definedName>
    <definedName name="OSRRefT22_21x_0" localSheetId="47">'Div 3'!$T$180:$T$188</definedName>
    <definedName name="OSRRefT22_21x_0" localSheetId="70">'Div 4'!$T$110:$T$111</definedName>
    <definedName name="OSRRefT22_21x_0" localSheetId="2">Summary!$T$206:$T$207</definedName>
    <definedName name="OSRRefT22_22x_0" localSheetId="48">'300'!$T$186</definedName>
    <definedName name="OSRRefT22_22x_0" localSheetId="49">'300 &amp; 317'!$T$208</definedName>
    <definedName name="OSRRefT22_22x_0" localSheetId="56">'331'!$T$146</definedName>
    <definedName name="OSRRefT22_22x_0" localSheetId="47">'Div 3'!$T$190:$T$191</definedName>
    <definedName name="OSRRefT22_22x_0" localSheetId="70">'Div 4'!$T$113</definedName>
    <definedName name="OSRRefT22_22x_0" localSheetId="2">Summary!$T$209:$T$219</definedName>
    <definedName name="OSRRefT22_23x_0" localSheetId="48">'300'!$T$188:$T$190</definedName>
    <definedName name="OSRRefT22_23x_0" localSheetId="49">'300 &amp; 317'!$T$210:$T$212</definedName>
    <definedName name="OSRRefT22_23x_0" localSheetId="47">'Div 3'!$T$193</definedName>
    <definedName name="OSRRefT22_23x_0" localSheetId="2">Summary!$T$221:$T$222</definedName>
    <definedName name="OSRRefT22_24x_0" localSheetId="48">'300'!$T$192</definedName>
    <definedName name="OSRRefT22_24x_0" localSheetId="49">'300 &amp; 317'!$T$214</definedName>
    <definedName name="OSRRefT22_24x_0" localSheetId="47">'Div 3'!$T$195:$T$197</definedName>
    <definedName name="OSRRefT22_24x_0" localSheetId="2">Summary!$T$224</definedName>
    <definedName name="OSRRefT22_25x_0" localSheetId="47">'Div 3'!$T$199</definedName>
    <definedName name="OSRRefT22_25x_0" localSheetId="2">Summary!$T$226:$T$228</definedName>
    <definedName name="OSRRefT22_26x_0" localSheetId="2">Summary!$T$230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'300'!$T$121</definedName>
    <definedName name="OSRRefT22_2x_0" localSheetId="49">'300 &amp; 317'!$T$143</definedName>
    <definedName name="OSRRefT22_2x_0" localSheetId="50">'301'!$T$41:$T$42</definedName>
    <definedName name="OSRRefT22_2x_0" localSheetId="52">'307'!$T$51</definedName>
    <definedName name="OSRRefT22_2x_0" localSheetId="53">'308'!$T$72</definedName>
    <definedName name="OSRRefT22_2x_0" localSheetId="64">'309'!$T$41</definedName>
    <definedName name="OSRRefT22_2x_0" localSheetId="63">'310'!$T$48</definedName>
    <definedName name="OSRRefT22_2x_0" localSheetId="71">'310 &amp; 491'!$T$52</definedName>
    <definedName name="OSRRefT22_2x_0" localSheetId="54">'311'!$T$71</definedName>
    <definedName name="OSRRefT22_2x_0" localSheetId="65">'313'!$T$44</definedName>
    <definedName name="OSRRefT22_2x_0" localSheetId="57">'315'!$T$90</definedName>
    <definedName name="OSRRefT22_2x_0" localSheetId="60">'316'!$T$51</definedName>
    <definedName name="OSRRefT22_2x_0" localSheetId="62">'317'!$T$69</definedName>
    <definedName name="OSRRefT22_2x_0" localSheetId="66">'321'!$T$46</definedName>
    <definedName name="OSRRefT22_2x_0" localSheetId="67">'322'!$T$41</definedName>
    <definedName name="OSRRefT22_2x_0" localSheetId="68">'325'!$T$41</definedName>
    <definedName name="OSRRefT22_2x_0" localSheetId="58">'326'!$T$60</definedName>
    <definedName name="OSRRefT22_2x_0" localSheetId="51">'330'!$T$51</definedName>
    <definedName name="OSRRefT22_2x_0" localSheetId="56">'331'!$T$90</definedName>
    <definedName name="OSRRefT22_2x_0" localSheetId="59">'332'!$T$51</definedName>
    <definedName name="OSRRefT22_2x_0" localSheetId="73">'405'!$T$43</definedName>
    <definedName name="OSRRefT22_2x_0" localSheetId="74">'406'!$T$24</definedName>
    <definedName name="OSRRefT22_2x_0" localSheetId="75">'411'!$T$41</definedName>
    <definedName name="OSRRefT22_2x_0" localSheetId="76">'412'!$T$42</definedName>
    <definedName name="OSRRefT22_2x_0" localSheetId="78">'413'!$T$44</definedName>
    <definedName name="OSRRefT22_2x_0" localSheetId="79">'414'!$T$45</definedName>
    <definedName name="OSRRefT22_2x_0" localSheetId="80">'415'!$T$48</definedName>
    <definedName name="OSRRefT22_2x_0" localSheetId="81">'418'!$T$43</definedName>
    <definedName name="OSRRefT22_2x_0" localSheetId="82">'423'!$T$40</definedName>
    <definedName name="OSRRefT22_2x_0" localSheetId="83">'424'!$T$24</definedName>
    <definedName name="OSRRefT22_2x_0" localSheetId="84">'425'!$T$28</definedName>
    <definedName name="OSRRefT22_2x_0" localSheetId="87">'430'!$T$41:$T$43</definedName>
    <definedName name="OSRRefT22_2x_0" localSheetId="88">'433'!$T$49</definedName>
    <definedName name="OSRRefT22_2x_0" localSheetId="90">'444'!$T$49</definedName>
    <definedName name="OSRRefT22_2x_0" localSheetId="91">'450'!$T$44</definedName>
    <definedName name="OSRRefT22_2x_0" localSheetId="72">'491'!$T$49</definedName>
    <definedName name="OSRRefT22_2x_0" localSheetId="86">'492'!$T$49</definedName>
    <definedName name="OSRRefT22_2x_0" localSheetId="93">'501'!$T$43</definedName>
    <definedName name="OSRRefT22_2x_0" localSheetId="39">'Div 2'!$T$44</definedName>
    <definedName name="OSRRefT22_2x_0" localSheetId="47">'Div 3'!$T$125</definedName>
    <definedName name="OSRRefT22_2x_0" localSheetId="70">'Div 4'!$T$52</definedName>
    <definedName name="OSRRefT22_2x_0" localSheetId="92">'Div 5'!$T$43</definedName>
    <definedName name="OSRRefT22_2x_0" localSheetId="61">'Div 6'!$T$69</definedName>
    <definedName name="OSRRefT22_2x_0" localSheetId="2">Summary!$T$151</definedName>
    <definedName name="OSRRefT22_3x_0" localSheetId="40">'200'!$T$26:$T$27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'205'!$T$43:$T$44</definedName>
    <definedName name="OSRRefT22_3x_0" localSheetId="46">'206'!$T$43</definedName>
    <definedName name="OSRRefT22_3x_0" localSheetId="48">'300'!$T$123:$T$124</definedName>
    <definedName name="OSRRefT22_3x_0" localSheetId="49">'300 &amp; 317'!$T$145:$T$146</definedName>
    <definedName name="OSRRefT22_3x_0" localSheetId="50">'301'!$T$44</definedName>
    <definedName name="OSRRefT22_3x_0" localSheetId="52">'307'!$T$53</definedName>
    <definedName name="OSRRefT22_3x_0" localSheetId="53">'308'!$T$74</definedName>
    <definedName name="OSRRefT22_3x_0" localSheetId="64">'309'!$T$43</definedName>
    <definedName name="OSRRefT22_3x_0" localSheetId="63">'310'!$T$50</definedName>
    <definedName name="OSRRefT22_3x_0" localSheetId="71">'310 &amp; 491'!$T$54</definedName>
    <definedName name="OSRRefT22_3x_0" localSheetId="54">'311'!$T$73</definedName>
    <definedName name="OSRRefT22_3x_0" localSheetId="65">'313'!$T$46</definedName>
    <definedName name="OSRRefT22_3x_0" localSheetId="57">'315'!$T$92</definedName>
    <definedName name="OSRRefT22_3x_0" localSheetId="60">'316'!$T$53</definedName>
    <definedName name="OSRRefT22_3x_0" localSheetId="62">'317'!$T$71</definedName>
    <definedName name="OSRRefT22_3x_0" localSheetId="66">'321'!$T$48</definedName>
    <definedName name="OSRRefT22_3x_0" localSheetId="67">'322'!$T$43</definedName>
    <definedName name="OSRRefT22_3x_0" localSheetId="68">'325'!$T$43</definedName>
    <definedName name="OSRRefT22_3x_0" localSheetId="58">'326'!$T$62</definedName>
    <definedName name="OSRRefT22_3x_0" localSheetId="51">'330'!$T$53</definedName>
    <definedName name="OSRRefT22_3x_0" localSheetId="56">'331'!$T$92</definedName>
    <definedName name="OSRRefT22_3x_0" localSheetId="59">'332'!$T$53</definedName>
    <definedName name="OSRRefT22_3x_0" localSheetId="73">'405'!$T$45</definedName>
    <definedName name="OSRRefT22_3x_0" localSheetId="74">'406'!$T$26</definedName>
    <definedName name="OSRRefT22_3x_0" localSheetId="75">'411'!$T$43</definedName>
    <definedName name="OSRRefT22_3x_0" localSheetId="76">'412'!$T$44</definedName>
    <definedName name="OSRRefT22_3x_0" localSheetId="78">'413'!$T$46</definedName>
    <definedName name="OSRRefT22_3x_0" localSheetId="79">'414'!$T$47</definedName>
    <definedName name="OSRRefT22_3x_0" localSheetId="80">'415'!$T$50</definedName>
    <definedName name="OSRRefT22_3x_0" localSheetId="81">'418'!$T$45</definedName>
    <definedName name="OSRRefT22_3x_0" localSheetId="82">'423'!$T$42:$T$43</definedName>
    <definedName name="OSRRefT22_3x_0" localSheetId="83">'424'!$T$26</definedName>
    <definedName name="OSRRefT22_3x_0" localSheetId="84">'425'!$T$30</definedName>
    <definedName name="OSRRefT22_3x_0" localSheetId="87">'430'!$T$45:$T$46</definedName>
    <definedName name="OSRRefT22_3x_0" localSheetId="88">'433'!$T$51</definedName>
    <definedName name="OSRRefT22_3x_0" localSheetId="90">'444'!$T$51</definedName>
    <definedName name="OSRRefT22_3x_0" localSheetId="91">'450'!$T$46</definedName>
    <definedName name="OSRRefT22_3x_0" localSheetId="72">'491'!$T$51</definedName>
    <definedName name="OSRRefT22_3x_0" localSheetId="86">'492'!$T$51</definedName>
    <definedName name="OSRRefT22_3x_0" localSheetId="93">'501'!$T$45</definedName>
    <definedName name="OSRRefT22_3x_0" localSheetId="39">'Div 2'!$T$46</definedName>
    <definedName name="OSRRefT22_3x_0" localSheetId="47">'Div 3'!$T$127:$T$128</definedName>
    <definedName name="OSRRefT22_3x_0" localSheetId="70">'Div 4'!$T$54</definedName>
    <definedName name="OSRRefT22_3x_0" localSheetId="92">'Div 5'!$T$45</definedName>
    <definedName name="OSRRefT22_3x_0" localSheetId="61">'Div 6'!$T$71</definedName>
    <definedName name="OSRRefT22_3x_0" localSheetId="2">Summary!$T$153:$T$154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'205'!$T$46</definedName>
    <definedName name="OSRRefT22_4x_0" localSheetId="46">'206'!$T$45</definedName>
    <definedName name="OSRRefT22_4x_0" localSheetId="48">'300'!$T$126</definedName>
    <definedName name="OSRRefT22_4x_0" localSheetId="49">'300 &amp; 317'!$T$148</definedName>
    <definedName name="OSRRefT22_4x_0" localSheetId="50">'301'!$T$46:$T$47</definedName>
    <definedName name="OSRRefT22_4x_0" localSheetId="52">'307'!$T$55</definedName>
    <definedName name="OSRRefT22_4x_0" localSheetId="53">'308'!$T$76</definedName>
    <definedName name="OSRRefT22_4x_0" localSheetId="64">'309'!$T$45:$T$46</definedName>
    <definedName name="OSRRefT22_4x_0" localSheetId="63">'310'!$T$52</definedName>
    <definedName name="OSRRefT22_4x_0" localSheetId="71">'310 &amp; 491'!$T$56</definedName>
    <definedName name="OSRRefT22_4x_0" localSheetId="54">'311'!$T$75</definedName>
    <definedName name="OSRRefT22_4x_0" localSheetId="65">'313'!$T$48</definedName>
    <definedName name="OSRRefT22_4x_0" localSheetId="57">'315'!$T$94</definedName>
    <definedName name="OSRRefT22_4x_0" localSheetId="60">'316'!$T$55</definedName>
    <definedName name="OSRRefT22_4x_0" localSheetId="62">'317'!$T$73</definedName>
    <definedName name="OSRRefT22_4x_0" localSheetId="66">'321'!$T$50</definedName>
    <definedName name="OSRRefT22_4x_0" localSheetId="67">'322'!$T$45</definedName>
    <definedName name="OSRRefT22_4x_0" localSheetId="68">'325'!$T$45</definedName>
    <definedName name="OSRRefT22_4x_0" localSheetId="58">'326'!$T$64</definedName>
    <definedName name="OSRRefT22_4x_0" localSheetId="51">'330'!$T$55</definedName>
    <definedName name="OSRRefT22_4x_0" localSheetId="56">'331'!$T$94</definedName>
    <definedName name="OSRRefT22_4x_0" localSheetId="59">'332'!$T$55</definedName>
    <definedName name="OSRRefT22_4x_0" localSheetId="73">'405'!$T$47:$T$48</definedName>
    <definedName name="OSRRefT22_4x_0" localSheetId="74">'406'!$T$28</definedName>
    <definedName name="OSRRefT22_4x_0" localSheetId="75">'411'!$T$45:$T$46</definedName>
    <definedName name="OSRRefT22_4x_0" localSheetId="76">'412'!$T$46:$T$47</definedName>
    <definedName name="OSRRefT22_4x_0" localSheetId="78">'413'!$T$48</definedName>
    <definedName name="OSRRefT22_4x_0" localSheetId="79">'414'!$T$49</definedName>
    <definedName name="OSRRefT22_4x_0" localSheetId="80">'415'!$T$52</definedName>
    <definedName name="OSRRefT22_4x_0" localSheetId="81">'418'!$T$47:$T$48</definedName>
    <definedName name="OSRRefT22_4x_0" localSheetId="82">'423'!$T$45</definedName>
    <definedName name="OSRRefT22_4x_0" localSheetId="84">'425'!$T$32</definedName>
    <definedName name="OSRRefT22_4x_0" localSheetId="87">'430'!$T$48</definedName>
    <definedName name="OSRRefT22_4x_0" localSheetId="88">'433'!$T$53</definedName>
    <definedName name="OSRRefT22_4x_0" localSheetId="90">'444'!$T$53</definedName>
    <definedName name="OSRRefT22_4x_0" localSheetId="91">'450'!$T$48</definedName>
    <definedName name="OSRRefT22_4x_0" localSheetId="72">'491'!$T$53</definedName>
    <definedName name="OSRRefT22_4x_0" localSheetId="86">'492'!$T$53</definedName>
    <definedName name="OSRRefT22_4x_0" localSheetId="93">'501'!$T$47</definedName>
    <definedName name="OSRRefT22_4x_0" localSheetId="39">'Div 2'!$T$48</definedName>
    <definedName name="OSRRefT22_4x_0" localSheetId="47">'Div 3'!$T$130</definedName>
    <definedName name="OSRRefT22_4x_0" localSheetId="70">'Div 4'!$T$56</definedName>
    <definedName name="OSRRefT22_4x_0" localSheetId="92">'Div 5'!$T$47</definedName>
    <definedName name="OSRRefT22_4x_0" localSheetId="61">'Div 6'!$T$73</definedName>
    <definedName name="OSRRefT22_4x_0" localSheetId="2">Summary!$T$156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'300'!$T$128:$T$129</definedName>
    <definedName name="OSRRefT22_5x_0" localSheetId="49">'300 &amp; 317'!$T$150:$T$151</definedName>
    <definedName name="OSRRefT22_5x_0" localSheetId="50">'301'!$T$49</definedName>
    <definedName name="OSRRefT22_5x_0" localSheetId="52">'307'!$T$57</definedName>
    <definedName name="OSRRefT22_5x_0" localSheetId="53">'308'!$T$78</definedName>
    <definedName name="OSRRefT22_5x_0" localSheetId="64">'309'!$T$48:$T$49</definedName>
    <definedName name="OSRRefT22_5x_0" localSheetId="63">'310'!$T$54:$T$55</definedName>
    <definedName name="OSRRefT22_5x_0" localSheetId="71">'310 &amp; 491'!$T$58:$T$60</definedName>
    <definedName name="OSRRefT22_5x_0" localSheetId="54">'311'!$T$77</definedName>
    <definedName name="OSRRefT22_5x_0" localSheetId="65">'313'!$T$50</definedName>
    <definedName name="OSRRefT22_5x_0" localSheetId="57">'315'!$T$96</definedName>
    <definedName name="OSRRefT22_5x_0" localSheetId="60">'316'!$T$57</definedName>
    <definedName name="OSRRefT22_5x_0" localSheetId="62">'317'!$T$75</definedName>
    <definedName name="OSRRefT22_5x_0" localSheetId="66">'321'!$T$52</definedName>
    <definedName name="OSRRefT22_5x_0" localSheetId="67">'322'!$T$47</definedName>
    <definedName name="OSRRefT22_5x_0" localSheetId="68">'325'!$T$47:$T$48</definedName>
    <definedName name="OSRRefT22_5x_0" localSheetId="58">'326'!$T$66</definedName>
    <definedName name="OSRRefT22_5x_0" localSheetId="51">'330'!$T$57</definedName>
    <definedName name="OSRRefT22_5x_0" localSheetId="56">'331'!$T$96</definedName>
    <definedName name="OSRRefT22_5x_0" localSheetId="59">'332'!$T$57</definedName>
    <definedName name="OSRRefT22_5x_0" localSheetId="73">'405'!$T$50</definedName>
    <definedName name="OSRRefT22_5x_0" localSheetId="75">'411'!$T$48</definedName>
    <definedName name="OSRRefT22_5x_0" localSheetId="76">'412'!$T$49</definedName>
    <definedName name="OSRRefT22_5x_0" localSheetId="78">'413'!$T$50</definedName>
    <definedName name="OSRRefT22_5x_0" localSheetId="79">'414'!$T$51</definedName>
    <definedName name="OSRRefT22_5x_0" localSheetId="80">'415'!$T$54:$T$55</definedName>
    <definedName name="OSRRefT22_5x_0" localSheetId="81">'418'!$T$50</definedName>
    <definedName name="OSRRefT22_5x_0" localSheetId="82">'423'!$T$47</definedName>
    <definedName name="OSRRefT22_5x_0" localSheetId="87">'430'!$T$50</definedName>
    <definedName name="OSRRefT22_5x_0" localSheetId="88">'433'!$T$55</definedName>
    <definedName name="OSRRefT22_5x_0" localSheetId="90">'444'!$T$55</definedName>
    <definedName name="OSRRefT22_5x_0" localSheetId="91">'450'!$T$50</definedName>
    <definedName name="OSRRefT22_5x_0" localSheetId="72">'491'!$T$55:$T$57</definedName>
    <definedName name="OSRRefT22_5x_0" localSheetId="86">'492'!$T$55</definedName>
    <definedName name="OSRRefT22_5x_0" localSheetId="93">'501'!$T$49:$T$50</definedName>
    <definedName name="OSRRefT22_5x_0" localSheetId="39">'Div 2'!$T$50:$T$51</definedName>
    <definedName name="OSRRefT22_5x_0" localSheetId="47">'Div 3'!$T$132:$T$133</definedName>
    <definedName name="OSRRefT22_5x_0" localSheetId="70">'Div 4'!$T$58:$T$60</definedName>
    <definedName name="OSRRefT22_5x_0" localSheetId="92">'Div 5'!$T$49:$T$50</definedName>
    <definedName name="OSRRefT22_5x_0" localSheetId="61">'Div 6'!$T$75</definedName>
    <definedName name="OSRRefT22_5x_0" localSheetId="2">Summary!$T$158:$T$160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'204'!$T$51:$T$53</definedName>
    <definedName name="OSRRefT22_6x_0" localSheetId="45">'205'!$T$50</definedName>
    <definedName name="OSRRefT22_6x_0" localSheetId="46">'206'!$T$49</definedName>
    <definedName name="OSRRefT22_6x_0" localSheetId="48">'300'!$T$131</definedName>
    <definedName name="OSRRefT22_6x_0" localSheetId="49">'300 &amp; 317'!$T$153</definedName>
    <definedName name="OSRRefT22_6x_0" localSheetId="50">'301'!$T$51</definedName>
    <definedName name="OSRRefT22_6x_0" localSheetId="52">'307'!$T$59</definedName>
    <definedName name="OSRRefT22_6x_0" localSheetId="53">'308'!$T$80</definedName>
    <definedName name="OSRRefT22_6x_0" localSheetId="64">'309'!$T$51</definedName>
    <definedName name="OSRRefT22_6x_0" localSheetId="63">'310'!$T$57</definedName>
    <definedName name="OSRRefT22_6x_0" localSheetId="71">'310 &amp; 491'!$T$62</definedName>
    <definedName name="OSRRefT22_6x_0" localSheetId="54">'311'!$T$79</definedName>
    <definedName name="OSRRefT22_6x_0" localSheetId="65">'313'!$T$52</definedName>
    <definedName name="OSRRefT22_6x_0" localSheetId="57">'315'!$T$98</definedName>
    <definedName name="OSRRefT22_6x_0" localSheetId="60">'316'!$T$59:$T$60</definedName>
    <definedName name="OSRRefT22_6x_0" localSheetId="62">'317'!$T$77:$T$78</definedName>
    <definedName name="OSRRefT22_6x_0" localSheetId="66">'321'!$T$54</definedName>
    <definedName name="OSRRefT22_6x_0" localSheetId="67">'322'!$T$49</definedName>
    <definedName name="OSRRefT22_6x_0" localSheetId="68">'325'!$T$50</definedName>
    <definedName name="OSRRefT22_6x_0" localSheetId="58">'326'!$T$68</definedName>
    <definedName name="OSRRefT22_6x_0" localSheetId="51">'330'!$T$59</definedName>
    <definedName name="OSRRefT22_6x_0" localSheetId="56">'331'!$T$98</definedName>
    <definedName name="OSRRefT22_6x_0" localSheetId="59">'332'!$T$59:$T$60</definedName>
    <definedName name="OSRRefT22_6x_0" localSheetId="73">'405'!$T$52</definedName>
    <definedName name="OSRRefT22_6x_0" localSheetId="75">'411'!$T$50</definedName>
    <definedName name="OSRRefT22_6x_0" localSheetId="76">'412'!$T$51</definedName>
    <definedName name="OSRRefT22_6x_0" localSheetId="78">'413'!$T$52</definedName>
    <definedName name="OSRRefT22_6x_0" localSheetId="79">'414'!$T$53</definedName>
    <definedName name="OSRRefT22_6x_0" localSheetId="80">'415'!$T$57</definedName>
    <definedName name="OSRRefT22_6x_0" localSheetId="81">'418'!$T$52</definedName>
    <definedName name="OSRRefT22_6x_0" localSheetId="82">'423'!$T$49</definedName>
    <definedName name="OSRRefT22_6x_0" localSheetId="88">'433'!$T$57</definedName>
    <definedName name="OSRRefT22_6x_0" localSheetId="90">'444'!$T$57</definedName>
    <definedName name="OSRRefT22_6x_0" localSheetId="91">'450'!$T$52</definedName>
    <definedName name="OSRRefT22_6x_0" localSheetId="72">'491'!$T$59</definedName>
    <definedName name="OSRRefT22_6x_0" localSheetId="86">'492'!$T$57</definedName>
    <definedName name="OSRRefT22_6x_0" localSheetId="93">'501'!$T$52</definedName>
    <definedName name="OSRRefT22_6x_0" localSheetId="39">'Div 2'!$T$53</definedName>
    <definedName name="OSRRefT22_6x_0" localSheetId="47">'Div 3'!$T$135</definedName>
    <definedName name="OSRRefT22_6x_0" localSheetId="70">'Div 4'!$T$62</definedName>
    <definedName name="OSRRefT22_6x_0" localSheetId="92">'Div 5'!$T$52</definedName>
    <definedName name="OSRRefT22_6x_0" localSheetId="61">'Div 6'!$T$77:$T$78</definedName>
    <definedName name="OSRRefT22_6x_0" localSheetId="2">Summary!$T$162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'204'!$T$55:$T$56</definedName>
    <definedName name="OSRRefT22_7x_0" localSheetId="46">'206'!$T$51</definedName>
    <definedName name="OSRRefT22_7x_0" localSheetId="48">'300'!$T$133:$T$134</definedName>
    <definedName name="OSRRefT22_7x_0" localSheetId="49">'300 &amp; 317'!$T$155:$T$156</definedName>
    <definedName name="OSRRefT22_7x_0" localSheetId="50">'301'!$T$53</definedName>
    <definedName name="OSRRefT22_7x_0" localSheetId="52">'307'!$T$61</definedName>
    <definedName name="OSRRefT22_7x_0" localSheetId="53">'308'!$T$82:$T$83</definedName>
    <definedName name="OSRRefT22_7x_0" localSheetId="63">'310'!$T$59</definedName>
    <definedName name="OSRRefT22_7x_0" localSheetId="71">'310 &amp; 491'!$T$64</definedName>
    <definedName name="OSRRefT22_7x_0" localSheetId="54">'311'!$T$81:$T$82</definedName>
    <definedName name="OSRRefT22_7x_0" localSheetId="65">'313'!$T$54</definedName>
    <definedName name="OSRRefT22_7x_0" localSheetId="57">'315'!$T$100:$T$101</definedName>
    <definedName name="OSRRefT22_7x_0" localSheetId="60">'316'!$T$62</definedName>
    <definedName name="OSRRefT22_7x_0" localSheetId="62">'317'!$T$80</definedName>
    <definedName name="OSRRefT22_7x_0" localSheetId="66">'321'!$T$56:$T$57</definedName>
    <definedName name="OSRRefT22_7x_0" localSheetId="67">'322'!$T$51:$T$52</definedName>
    <definedName name="OSRRefT22_7x_0" localSheetId="68">'325'!$T$52</definedName>
    <definedName name="OSRRefT22_7x_0" localSheetId="58">'326'!$T$70</definedName>
    <definedName name="OSRRefT22_7x_0" localSheetId="51">'330'!$T$61</definedName>
    <definedName name="OSRRefT22_7x_0" localSheetId="56">'331'!$T$100</definedName>
    <definedName name="OSRRefT22_7x_0" localSheetId="59">'332'!$T$62</definedName>
    <definedName name="OSRRefT22_7x_0" localSheetId="73">'405'!$T$54</definedName>
    <definedName name="OSRRefT22_7x_0" localSheetId="75">'411'!$T$52:$T$53</definedName>
    <definedName name="OSRRefT22_7x_0" localSheetId="76">'412'!$T$53</definedName>
    <definedName name="OSRRefT22_7x_0" localSheetId="78">'413'!$T$54:$T$55</definedName>
    <definedName name="OSRRefT22_7x_0" localSheetId="79">'414'!$T$55</definedName>
    <definedName name="OSRRefT22_7x_0" localSheetId="80">'415'!$T$59</definedName>
    <definedName name="OSRRefT22_7x_0" localSheetId="81">'418'!$T$54</definedName>
    <definedName name="OSRRefT22_7x_0" localSheetId="88">'433'!$T$59</definedName>
    <definedName name="OSRRefT22_7x_0" localSheetId="90">'444'!$T$59</definedName>
    <definedName name="OSRRefT22_7x_0" localSheetId="91">'450'!$T$54</definedName>
    <definedName name="OSRRefT22_7x_0" localSheetId="72">'491'!$T$61</definedName>
    <definedName name="OSRRefT22_7x_0" localSheetId="86">'492'!$T$59</definedName>
    <definedName name="OSRRefT22_7x_0" localSheetId="93">'501'!$T$54</definedName>
    <definedName name="OSRRefT22_7x_0" localSheetId="39">'Div 2'!$T$55</definedName>
    <definedName name="OSRRefT22_7x_0" localSheetId="47">'Div 3'!$T$137:$T$138</definedName>
    <definedName name="OSRRefT22_7x_0" localSheetId="70">'Div 4'!$T$64</definedName>
    <definedName name="OSRRefT22_7x_0" localSheetId="92">'Div 5'!$T$54</definedName>
    <definedName name="OSRRefT22_7x_0" localSheetId="61">'Div 6'!$T$80</definedName>
    <definedName name="OSRRefT22_7x_0" localSheetId="2">Summary!$T$164:$T$165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'204'!$T$58</definedName>
    <definedName name="OSRRefT22_8x_0" localSheetId="46">'206'!$T$53:$T$54</definedName>
    <definedName name="OSRRefT22_8x_0" localSheetId="48">'300'!$T$136</definedName>
    <definedName name="OSRRefT22_8x_0" localSheetId="49">'300 &amp; 317'!$T$158</definedName>
    <definedName name="OSRRefT22_8x_0" localSheetId="50">'301'!$T$55</definedName>
    <definedName name="OSRRefT22_8x_0" localSheetId="52">'307'!$T$63</definedName>
    <definedName name="OSRRefT22_8x_0" localSheetId="53">'308'!$T$85</definedName>
    <definedName name="OSRRefT22_8x_0" localSheetId="63">'310'!$T$61</definedName>
    <definedName name="OSRRefT22_8x_0" localSheetId="71">'310 &amp; 491'!$T$66</definedName>
    <definedName name="OSRRefT22_8x_0" localSheetId="54">'311'!$T$84</definedName>
    <definedName name="OSRRefT22_8x_0" localSheetId="65">'313'!$T$56:$T$58</definedName>
    <definedName name="OSRRefT22_8x_0" localSheetId="57">'315'!$T$103</definedName>
    <definedName name="OSRRefT22_8x_0" localSheetId="60">'316'!$T$64</definedName>
    <definedName name="OSRRefT22_8x_0" localSheetId="62">'317'!$T$82</definedName>
    <definedName name="OSRRefT22_8x_0" localSheetId="66">'321'!$T$59</definedName>
    <definedName name="OSRRefT22_8x_0" localSheetId="67">'322'!$T$54:$T$55</definedName>
    <definedName name="OSRRefT22_8x_0" localSheetId="68">'325'!$T$54</definedName>
    <definedName name="OSRRefT22_8x_0" localSheetId="58">'326'!$T$72:$T$73</definedName>
    <definedName name="OSRRefT22_8x_0" localSheetId="51">'330'!$T$63</definedName>
    <definedName name="OSRRefT22_8x_0" localSheetId="56">'331'!$T$102:$T$103</definedName>
    <definedName name="OSRRefT22_8x_0" localSheetId="59">'332'!$T$64</definedName>
    <definedName name="OSRRefT22_8x_0" localSheetId="73">'405'!$T$56:$T$57</definedName>
    <definedName name="OSRRefT22_8x_0" localSheetId="75">'411'!$T$55:$T$58</definedName>
    <definedName name="OSRRefT22_8x_0" localSheetId="76">'412'!$T$55:$T$56</definedName>
    <definedName name="OSRRefT22_8x_0" localSheetId="78">'413'!$T$57:$T$58</definedName>
    <definedName name="OSRRefT22_8x_0" localSheetId="79">'414'!$T$57</definedName>
    <definedName name="OSRRefT22_8x_0" localSheetId="80">'415'!$T$61</definedName>
    <definedName name="OSRRefT22_8x_0" localSheetId="81">'418'!$T$56:$T$58</definedName>
    <definedName name="OSRRefT22_8x_0" localSheetId="88">'433'!$T$61</definedName>
    <definedName name="OSRRefT22_8x_0" localSheetId="90">'444'!$T$61</definedName>
    <definedName name="OSRRefT22_8x_0" localSheetId="91">'450'!$T$56</definedName>
    <definedName name="OSRRefT22_8x_0" localSheetId="72">'491'!$T$63</definedName>
    <definedName name="OSRRefT22_8x_0" localSheetId="86">'492'!$T$61</definedName>
    <definedName name="OSRRefT22_8x_0" localSheetId="93">'501'!$T$56</definedName>
    <definedName name="OSRRefT22_8x_0" localSheetId="39">'Div 2'!$T$57</definedName>
    <definedName name="OSRRefT22_8x_0" localSheetId="47">'Div 3'!$T$140</definedName>
    <definedName name="OSRRefT22_8x_0" localSheetId="70">'Div 4'!$T$66</definedName>
    <definedName name="OSRRefT22_8x_0" localSheetId="92">'Div 5'!$T$56</definedName>
    <definedName name="OSRRefT22_8x_0" localSheetId="61">'Div 6'!$T$82</definedName>
    <definedName name="OSRRefT22_8x_0" localSheetId="2">Summary!$T$167</definedName>
    <definedName name="OSRRefT22_9x_0" localSheetId="41">'201'!$T$56</definedName>
    <definedName name="OSRRefT22_9x_0" localSheetId="42">'202'!$T$58:$T$60</definedName>
    <definedName name="OSRRefT22_9x_0" localSheetId="43">'203'!$T$59</definedName>
    <definedName name="OSRRefT22_9x_0" localSheetId="44">'204'!$T$60:$T$61</definedName>
    <definedName name="OSRRefT22_9x_0" localSheetId="46">'206'!$T$56</definedName>
    <definedName name="OSRRefT22_9x_0" localSheetId="48">'300'!$T$138</definedName>
    <definedName name="OSRRefT22_9x_0" localSheetId="49">'300 &amp; 317'!$T$160</definedName>
    <definedName name="OSRRefT22_9x_0" localSheetId="50">'301'!$T$57</definedName>
    <definedName name="OSRRefT22_9x_0" localSheetId="52">'307'!$T$65:$T$66</definedName>
    <definedName name="OSRRefT22_9x_0" localSheetId="53">'308'!$T$87:$T$88</definedName>
    <definedName name="OSRRefT22_9x_0" localSheetId="63">'310'!$T$63</definedName>
    <definedName name="OSRRefT22_9x_0" localSheetId="71">'310 &amp; 491'!$T$68</definedName>
    <definedName name="OSRRefT22_9x_0" localSheetId="54">'311'!$T$86:$T$87</definedName>
    <definedName name="OSRRefT22_9x_0" localSheetId="65">'313'!$T$60:$T$61</definedName>
    <definedName name="OSRRefT22_9x_0" localSheetId="57">'315'!$T$105</definedName>
    <definedName name="OSRRefT22_9x_0" localSheetId="60">'316'!$T$66:$T$69</definedName>
    <definedName name="OSRRefT22_9x_0" localSheetId="62">'317'!$T$84</definedName>
    <definedName name="OSRRefT22_9x_0" localSheetId="66">'321'!$T$61</definedName>
    <definedName name="OSRRefT22_9x_0" localSheetId="67">'322'!$T$57:$T$60</definedName>
    <definedName name="OSRRefT22_9x_0" localSheetId="68">'325'!$T$56:$T$57</definedName>
    <definedName name="OSRRefT22_9x_0" localSheetId="58">'326'!$T$75</definedName>
    <definedName name="OSRRefT22_9x_0" localSheetId="51">'330'!$T$65:$T$66</definedName>
    <definedName name="OSRRefT22_9x_0" localSheetId="56">'331'!$T$105:$T$106</definedName>
    <definedName name="OSRRefT22_9x_0" localSheetId="59">'332'!$T$66:$T$69</definedName>
    <definedName name="OSRRefT22_9x_0" localSheetId="73">'405'!$T$59:$T$62</definedName>
    <definedName name="OSRRefT22_9x_0" localSheetId="75">'411'!$T$60:$T$66</definedName>
    <definedName name="OSRRefT22_9x_0" localSheetId="76">'412'!$T$58</definedName>
    <definedName name="OSRRefT22_9x_0" localSheetId="78">'413'!$T$60:$T$67</definedName>
    <definedName name="OSRRefT22_9x_0" localSheetId="79">'414'!$T$59</definedName>
    <definedName name="OSRRefT22_9x_0" localSheetId="80">'415'!$T$63</definedName>
    <definedName name="OSRRefT22_9x_0" localSheetId="81">'418'!$T$60:$T$61</definedName>
    <definedName name="OSRRefT22_9x_0" localSheetId="88">'433'!$T$63</definedName>
    <definedName name="OSRRefT22_9x_0" localSheetId="90">'444'!$T$63</definedName>
    <definedName name="OSRRefT22_9x_0" localSheetId="91">'450'!$T$58</definedName>
    <definedName name="OSRRefT22_9x_0" localSheetId="72">'491'!$T$65</definedName>
    <definedName name="OSRRefT22_9x_0" localSheetId="86">'492'!$T$63</definedName>
    <definedName name="OSRRefT22_9x_0" localSheetId="93">'501'!$T$58:$T$59</definedName>
    <definedName name="OSRRefT22_9x_0" localSheetId="39">'Div 2'!$T$59:$T$60</definedName>
    <definedName name="OSRRefT22_9x_0" localSheetId="47">'Div 3'!$T$142</definedName>
    <definedName name="OSRRefT22_9x_0" localSheetId="70">'Div 4'!$T$68</definedName>
    <definedName name="OSRRefT22_9x_0" localSheetId="92">'Div 5'!$T$58:$T$59</definedName>
    <definedName name="OSRRefT22_9x_0" localSheetId="61">'Div 6'!$T$84</definedName>
    <definedName name="OSRRefT22_9x_0" localSheetId="2">Summary!$T$169</definedName>
    <definedName name="OSRRefT22x_0" localSheetId="40">'200'!$T$20,'200'!$T$22,'200'!$T$24,'200'!$T$26:$T$27</definedName>
    <definedName name="OSRRefT22x_0" localSheetId="41">'201'!$T$21:$T$29,'201'!$T$31:$T$40,'201'!$T$42,'201'!$T$44,'201'!$T$46,'201'!$T$48,'201'!$T$50,'201'!$T$52,'201'!$T$54,'201'!$T$56,'201'!$T$58,'201'!$T$60:$T$62,'201'!$T$64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'203'!$T$20:$T$29,'203'!$T$31:$T$40,'203'!$T$42,'203'!$T$44,'203'!$T$46,'203'!$T$48,'203'!$T$50,'203'!$T$52:$T$53,'203'!$T$55:$T$57,'203'!$T$59,'203'!$T$61,'203'!$T$63:$T$65,'203'!$T$67,'203'!$T$69</definedName>
    <definedName name="OSRRefT22x_0" localSheetId="44">'204'!$T$20:$T$29,'204'!$T$31:$T$40,'204'!$T$42,'204'!$T$44:$T$45,'204'!$T$47,'204'!$T$49,'204'!$T$51:$T$53,'204'!$T$55:$T$56,'204'!$T$58,'204'!$T$60:$T$61,'204'!$T$63</definedName>
    <definedName name="OSRRefT22x_0" localSheetId="45">'205'!$T$20:$T$28,'205'!$T$30:$T$39,'205'!$T$41,'205'!$T$43:$T$44,'205'!$T$46,'205'!$T$48,'205'!$T$50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$99:$T$108,'300'!$T$110:$T$119,'300'!$T$121,'300'!$T$123:$T$124,'300'!$T$126,'300'!$T$128:$T$129,'300'!$T$131,'300'!$T$133:$T$134,'300'!$T$136,'300'!$T$138,'300'!$T$140:$T$141,'300'!$T$143:$T$145,'300'!$T$147,'300'!$T$149,'300'!$T$151,'300'!$T$153,'300'!$T$155:$T$158,'300'!$T$160:$T$163,'300'!$T$165:$T$168,'300'!$T$170:$T$171,'300'!$T$173:$T$181,'300'!$T$183:$T$184,'300'!$T$186,'300'!$T$188:$T$190,'300'!$T$192</definedName>
    <definedName name="OSRRefT22x_0" localSheetId="49">'300 &amp; 317'!$T$121:$T$130,'300 &amp; 317'!$T$132:$T$141,'300 &amp; 317'!$T$143,'300 &amp; 317'!$T$145:$T$146,'300 &amp; 317'!$T$148,'300 &amp; 317'!$T$150:$T$151,'300 &amp; 317'!$T$153,'300 &amp; 317'!$T$155:$T$156,'300 &amp; 317'!$T$158,'300 &amp; 317'!$T$160,'300 &amp; 317'!$T$162:$T$163,'300 &amp; 317'!$T$165:$T$167,'300 &amp; 317'!$T$169,'300 &amp; 317'!$T$171,'300 &amp; 317'!$T$173,'300 &amp; 317'!$T$175,'300 &amp; 317'!$T$177:$T$180,'300 &amp; 317'!$T$182:$T$185,'300 &amp; 317'!$T$187:$T$190,'300 &amp; 317'!$T$192:$T$193,'300 &amp; 317'!$T$195:$T$203,'300 &amp; 317'!$T$205:$T$206,'300 &amp; 317'!$T$208,'300 &amp; 317'!$T$210:$T$212,'300 &amp; 317'!$T$214</definedName>
    <definedName name="OSRRefT22x_0" localSheetId="50">'301'!$T$20:$T$28,'301'!$T$30:$T$39,'301'!$T$41:$T$42,'301'!$T$44,'301'!$T$46:$T$47,'301'!$T$49,'301'!$T$51,'301'!$T$53,'301'!$T$55,'301'!$T$57,'301'!$T$59,'301'!$T$61,'301'!$T$63,'301'!$T$65:$T$68,'301'!$T$70:$T$72,'301'!$T$74,'301'!$T$76:$T$81,'301'!$T$83,'301'!$T$85,'301'!$T$87,'301'!$T$89</definedName>
    <definedName name="OSRRefT22x_0" localSheetId="52">'307'!$T$31:$T$38,'307'!$T$40:$T$49,'307'!$T$51,'307'!$T$53,'307'!$T$55,'307'!$T$57,'307'!$T$59,'307'!$T$61,'307'!$T$63,'307'!$T$65:$T$66,'307'!$T$68:$T$69,'307'!$T$71:$T$74,'307'!$T$76:$T$77,'307'!$T$79</definedName>
    <definedName name="OSRRefT22x_0" localSheetId="53">'308'!$T$50:$T$59,'308'!$T$61:$T$70,'308'!$T$72,'308'!$T$74,'308'!$T$76,'308'!$T$78,'308'!$T$80,'308'!$T$82:$T$83,'308'!$T$85,'308'!$T$87:$T$88,'308'!$T$90,'308'!$T$92:$T$94,'308'!$T$96:$T$97,'308'!$T$99</definedName>
    <definedName name="OSRRefT22x_0" localSheetId="64">'309'!$T$21:$T$28,'309'!$T$30:$T$39,'309'!$T$41,'309'!$T$43,'309'!$T$45:$T$46,'309'!$T$48:$T$49,'309'!$T$51</definedName>
    <definedName name="OSRRefT22x_0" localSheetId="63">'310'!$T$27:$T$35,'310'!$T$37:$T$46,'310'!$T$48,'310'!$T$50,'310'!$T$52,'310'!$T$54:$T$55,'310'!$T$57,'310'!$T$59,'310'!$T$61,'310'!$T$63,'310'!$T$65,'310'!$T$67:$T$68,'310'!$T$70,'310'!$T$72:$T$75,'310'!$T$77,'310'!$T$79:$T$83,'310'!$T$85:$T$86,'310'!$T$88,'310'!$T$90</definedName>
    <definedName name="OSRRefT22x_0" localSheetId="71">'310 &amp; 491'!$T$31:$T$39,'310 &amp; 491'!$T$41:$T$50,'310 &amp; 491'!$T$52,'310 &amp; 491'!$T$54,'310 &amp; 491'!$T$56,'310 &amp; 491'!$T$58:$T$60,'310 &amp; 491'!$T$62,'310 &amp; 491'!$T$64,'310 &amp; 491'!$T$66,'310 &amp; 491'!$T$68,'310 &amp; 491'!$T$70,'310 &amp; 491'!$T$72,'310 &amp; 491'!$T$74,'310 &amp; 491'!$T$76:$T$78,'310 &amp; 491'!$T$80:$T$81,'310 &amp; 491'!$T$83:$T$87,'310 &amp; 491'!$T$89,'310 &amp; 491'!$T$91:$T$101,'310 &amp; 491'!$T$103:$T$104,'310 &amp; 491'!$T$106,'310 &amp; 491'!$T$108:$T$109,'310 &amp; 491'!$T$111</definedName>
    <definedName name="OSRRefT22x_0" localSheetId="54">'311'!$T$49:$T$58,'311'!$T$60:$T$69,'311'!$T$71,'311'!$T$73,'311'!$T$75,'311'!$T$77,'311'!$T$79,'311'!$T$81:$T$82,'311'!$T$84,'311'!$T$86:$T$87,'311'!$T$89,'311'!$T$91:$T$93,'311'!$T$95:$T$96,'311'!$T$98</definedName>
    <definedName name="OSRRefT22x_0" localSheetId="65">'313'!$T$23:$T$31,'313'!$T$33:$T$42,'313'!$T$44,'313'!$T$46,'313'!$T$48,'313'!$T$50,'313'!$T$52,'313'!$T$54,'313'!$T$56:$T$58,'313'!$T$60:$T$61,'313'!$T$63</definedName>
    <definedName name="OSRRefT22x_0" localSheetId="57">'315'!$T$69:$T$77,'315'!$T$79:$T$88,'315'!$T$90,'315'!$T$92,'315'!$T$94,'315'!$T$96,'315'!$T$98,'315'!$T$100:$T$101,'315'!$T$103,'315'!$T$105,'315'!$T$107,'315'!$T$109,'315'!$T$111:$T$113,'315'!$T$115,'315'!$T$117:$T$123,'315'!$T$125,'315'!$T$127:$T$128</definedName>
    <definedName name="OSRRefT22x_0" localSheetId="60">'316'!$T$30:$T$38,'316'!$T$40:$T$49,'316'!$T$51,'316'!$T$53,'316'!$T$55,'316'!$T$57,'316'!$T$59:$T$60,'316'!$T$62,'316'!$T$64,'316'!$T$66:$T$69,'316'!$T$71,'316'!$T$73</definedName>
    <definedName name="OSRRefT22x_0" localSheetId="62">'317'!$T$47:$T$56,'317'!$T$58:$T$67,'317'!$T$69,'317'!$T$71,'317'!$T$73,'317'!$T$75,'317'!$T$77:$T$78,'317'!$T$80,'317'!$T$82,'317'!$T$84,'317'!$T$86:$T$88,'317'!$T$90</definedName>
    <definedName name="OSRRefT22x_0" localSheetId="66">'321'!$T$25:$T$33,'321'!$T$35:$T$44,'321'!$T$46,'321'!$T$48,'321'!$T$50,'321'!$T$52,'321'!$T$54,'321'!$T$56:$T$57,'321'!$T$59,'321'!$T$61,'321'!$T$63:$T$65,'321'!$T$67:$T$68,'321'!$T$70,'321'!$T$72</definedName>
    <definedName name="OSRRefT22x_0" localSheetId="67">'322'!$T$21:$T$28,'322'!$T$30:$T$39,'322'!$T$41,'322'!$T$43,'322'!$T$45,'322'!$T$47,'322'!$T$49,'322'!$T$51:$T$52,'322'!$T$54:$T$55,'322'!$T$57:$T$60,'322'!$T$62,'322'!$T$64</definedName>
    <definedName name="OSRRefT22x_0" localSheetId="55">'324'!$T$27:$T$34,'324'!$T$36:$T$45</definedName>
    <definedName name="OSRRefT22x_0" localSheetId="68">'325'!$T$21:$T$28,'325'!$T$30:$T$39,'325'!$T$41,'325'!$T$43,'325'!$T$45,'325'!$T$47:$T$48,'325'!$T$50,'325'!$T$52,'325'!$T$54,'325'!$T$56:$T$57,'325'!$T$59:$T$61,'325'!$T$63,'325'!$T$65:$T$67,'325'!$T$69:$T$70,'325'!$T$72</definedName>
    <definedName name="OSRRefT22x_0" localSheetId="58">'326'!$T$39:$T$47,'326'!$T$49:$T$58,'326'!$T$60,'326'!$T$62,'326'!$T$64,'326'!$T$66,'326'!$T$68,'326'!$T$70,'326'!$T$72:$T$73,'326'!$T$75,'326'!$T$77,'326'!$T$79,'326'!$T$81,'326'!$T$83,'326'!$T$85:$T$87,'326'!$T$89:$T$90,'326'!$T$92:$T$97,'326'!$T$99:$T$100,'326'!$T$102,'326'!$T$104:$T$105,'326'!$T$107</definedName>
    <definedName name="OSRRefT22x_0" localSheetId="69">'327'!$T$24</definedName>
    <definedName name="OSRRefT22x_0" localSheetId="51">'330'!$T$31:$T$38,'330'!$T$40:$T$49,'330'!$T$51,'330'!$T$53,'330'!$T$55,'330'!$T$57,'330'!$T$59,'330'!$T$61,'330'!$T$63,'330'!$T$65:$T$66,'330'!$T$68:$T$69,'330'!$T$71:$T$74,'330'!$T$76:$T$77,'330'!$T$79</definedName>
    <definedName name="OSRRefT22x_0" localSheetId="56">'331'!$T$69:$T$77,'331'!$T$79:$T$88,'331'!$T$90,'331'!$T$92,'331'!$T$94,'331'!$T$96,'331'!$T$98,'331'!$T$100,'331'!$T$102:$T$103,'331'!$T$105:$T$106,'331'!$T$108,'331'!$T$110,'331'!$T$112,'331'!$T$114,'331'!$T$116,'331'!$T$118:$T$120,'331'!$T$122:$T$124,'331'!$T$126:$T$127,'331'!$T$129:$T$136,'331'!$T$138:$T$139,'331'!$T$141,'331'!$T$143:$T$144,'331'!$T$146</definedName>
    <definedName name="OSRRefT22x_0" localSheetId="59">'332'!$T$30:$T$38,'332'!$T$40:$T$49,'332'!$T$51,'332'!$T$53,'332'!$T$55,'332'!$T$57,'332'!$T$59:$T$60,'332'!$T$62,'332'!$T$64,'332'!$T$66:$T$69,'332'!$T$71,'332'!$T$73</definedName>
    <definedName name="OSRRefT22x_0" localSheetId="73">'405'!$T$23:$T$30,'405'!$T$32:$T$41,'405'!$T$43,'405'!$T$45,'405'!$T$47:$T$48,'405'!$T$50,'405'!$T$52,'405'!$T$54,'405'!$T$56:$T$57,'405'!$T$59:$T$62,'405'!$T$64,'405'!$T$66:$T$74,'405'!$T$76,'405'!$T$78,'405'!$T$80</definedName>
    <definedName name="OSRRefT22x_0" localSheetId="74">'406'!$T$20,'406'!$T$22,'406'!$T$24,'406'!$T$26,'406'!$T$28</definedName>
    <definedName name="OSRRefT22x_0" localSheetId="75">'411'!$T$20:$T$28,'411'!$T$30:$T$39,'411'!$T$41,'411'!$T$43,'411'!$T$45:$T$46,'411'!$T$48,'411'!$T$50,'411'!$T$52:$T$53,'411'!$T$55:$T$58,'411'!$T$60:$T$66,'411'!$T$68,'411'!$T$70,'411'!$T$72</definedName>
    <definedName name="OSRRefT22x_0" localSheetId="76">'412'!$T$22:$T$29,'412'!$T$31:$T$40,'412'!$T$42,'412'!$T$44,'412'!$T$46:$T$47,'412'!$T$49,'412'!$T$51,'412'!$T$53,'412'!$T$55:$T$56,'412'!$T$58,'412'!$T$60:$T$63,'412'!$T$65:$T$69,'412'!$T$71:$T$72,'412'!$T$74</definedName>
    <definedName name="OSRRefT22x_0" localSheetId="78">'413'!$T$23:$T$31,'413'!$T$33:$T$42,'413'!$T$44,'413'!$T$46,'413'!$T$48,'413'!$T$50,'413'!$T$52,'413'!$T$54:$T$55,'413'!$T$57:$T$58,'413'!$T$60:$T$67,'413'!$T$69:$T$70</definedName>
    <definedName name="OSRRefT22x_0" localSheetId="79">'414'!$T$24:$T$32,'414'!$T$34:$T$43,'414'!$T$45,'414'!$T$47,'414'!$T$49,'414'!$T$51,'414'!$T$53,'414'!$T$55,'414'!$T$57,'414'!$T$59,'414'!$T$61,'414'!$T$63:$T$65,'414'!$T$67,'414'!$T$69,'414'!$T$71</definedName>
    <definedName name="OSRRefT22x_0" localSheetId="80">'415'!$T$27:$T$35,'415'!$T$37:$T$46,'415'!$T$48,'415'!$T$50,'415'!$T$52,'415'!$T$54:$T$55,'415'!$T$57,'415'!$T$59,'415'!$T$61,'415'!$T$63,'415'!$T$65:$T$66,'415'!$T$68:$T$72,'415'!$T$74,'415'!$T$76:$T$82,'415'!$T$84:$T$85,'415'!$T$87</definedName>
    <definedName name="OSRRefT22x_0" localSheetId="81">'418'!$T$23:$T$30,'418'!$T$32:$T$41,'418'!$T$43,'418'!$T$45,'418'!$T$47:$T$48,'418'!$T$50,'418'!$T$52,'418'!$T$54,'418'!$T$56:$T$58,'418'!$T$60:$T$61,'418'!$T$63,'418'!$T$65:$T$74,'418'!$T$76:$T$77,'418'!$T$79</definedName>
    <definedName name="OSRRefT22x_0" localSheetId="82">'423'!$T$20:$T$27,'423'!$T$29:$T$38,'423'!$T$40,'423'!$T$42:$T$43,'423'!$T$45,'423'!$T$47,'423'!$T$49</definedName>
    <definedName name="OSRRefT22x_0" localSheetId="83">'424'!$T$20,'424'!$T$22,'424'!$T$24,'424'!$T$26</definedName>
    <definedName name="OSRRefT22x_0" localSheetId="84">'425'!$T$20:$T$24,'425'!$T$26,'425'!$T$28,'425'!$T$30,'425'!$T$32</definedName>
    <definedName name="OSRRefT22x_0" localSheetId="87">'430'!$T$20:$T$28,'430'!$T$30:$T$39,'430'!$T$41:$T$43,'430'!$T$45:$T$46,'430'!$T$48,'430'!$T$50</definedName>
    <definedName name="OSRRefT22x_0" localSheetId="88">'433'!$T$27:$T$36,'433'!$T$38:$T$47,'433'!$T$49,'433'!$T$51,'433'!$T$53,'433'!$T$55,'433'!$T$57,'433'!$T$59,'433'!$T$61,'433'!$T$63,'433'!$T$65,'433'!$T$67:$T$68,'433'!$T$70:$T$73,'433'!$T$75:$T$82,'433'!$T$84</definedName>
    <definedName name="OSRRefT22x_0" localSheetId="89">'435'!$T$20</definedName>
    <definedName name="OSRRefT22x_0" localSheetId="90">'444'!$T$27:$T$36,'444'!$T$38:$T$47,'444'!$T$49,'444'!$T$51,'444'!$T$53,'444'!$T$55,'444'!$T$57,'444'!$T$59,'444'!$T$61,'444'!$T$63,'444'!$T$65,'444'!$T$67:$T$69,'444'!$T$71:$T$73,'444'!$T$75:$T$83,'444'!$T$85:$T$86,'444'!$T$88</definedName>
    <definedName name="OSRRefT22x_0" localSheetId="91">'450'!$T$22:$T$31,'450'!$T$33:$T$42,'450'!$T$44,'450'!$T$46,'450'!$T$48,'450'!$T$50,'450'!$T$52,'450'!$T$54,'450'!$T$56,'450'!$T$58,'450'!$T$60,'450'!$T$62,'450'!$T$64,'450'!$T$66:$T$68,'450'!$T$70:$T$75,'450'!$T$77:$T$78,'450'!$T$80</definedName>
    <definedName name="OSRRefT22x_0" localSheetId="72">'491'!$T$28:$T$36,'491'!$T$38:$T$47,'491'!$T$49,'491'!$T$51,'491'!$T$53,'491'!$T$55:$T$57,'491'!$T$59,'491'!$T$61,'491'!$T$63,'491'!$T$65,'491'!$T$67,'491'!$T$69,'491'!$T$71:$T$73,'491'!$T$75:$T$76,'491'!$T$78:$T$82,'491'!$T$84,'491'!$T$86:$T$96,'491'!$T$98:$T$99,'491'!$T$101,'491'!$T$103:$T$104,'491'!$T$106</definedName>
    <definedName name="OSRRefT22x_0" localSheetId="86">'492'!$T$27:$T$36,'492'!$T$38:$T$47,'492'!$T$49,'492'!$T$51,'492'!$T$53,'492'!$T$55,'492'!$T$57,'492'!$T$59,'492'!$T$61,'492'!$T$63,'492'!$T$65,'492'!$T$67,'492'!$T$69:$T$71,'492'!$T$73:$T$76,'492'!$T$78:$T$87,'492'!$T$89:$T$90,'492'!$T$92,'492'!$T$94</definedName>
    <definedName name="OSRRefT22x_0" localSheetId="93">'501'!$T$21:$T$30,'501'!$T$32:$T$41,'501'!$T$43,'501'!$T$45,'501'!$T$47,'501'!$T$49:$T$50,'501'!$T$52,'501'!$T$54,'501'!$T$56,'501'!$T$58:$T$59,'501'!$T$61:$T$62,'501'!$T$64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7">'Div 3'!$T$103:$T$112,'Div 3'!$T$114:$T$123,'Div 3'!$T$125,'Div 3'!$T$127:$T$128,'Div 3'!$T$130,'Div 3'!$T$132:$T$133,'Div 3'!$T$135,'Div 3'!$T$137:$T$138,'Div 3'!$T$140,'Div 3'!$T$142,'Div 3'!$T$144:$T$145,'Div 3'!$T$147:$T$149,'Div 3'!$T$151,'Div 3'!$T$153,'Div 3'!$T$155,'Div 3'!$T$157,'Div 3'!$T$159,'Div 3'!$T$161:$T$164,'Div 3'!$T$166:$T$169,'Div 3'!$T$171:$T$175,'Div 3'!$T$177:$T$178,'Div 3'!$T$180:$T$188,'Div 3'!$T$190:$T$191,'Div 3'!$T$193,'Div 3'!$T$195:$T$197,'Div 3'!$T$199</definedName>
    <definedName name="OSRRefT22x_0" localSheetId="70">'Div 4'!$T$30:$T$39,'Div 4'!$T$41:$T$50,'Div 4'!$T$52,'Div 4'!$T$54,'Div 4'!$T$56,'Div 4'!$T$58:$T$60,'Div 4'!$T$62,'Div 4'!$T$64,'Div 4'!$T$66,'Div 4'!$T$68,'Div 4'!$T$70,'Div 4'!$T$72,'Div 4'!$T$74,'Div 4'!$T$76,'Div 4'!$T$78:$T$80,'Div 4'!$T$82:$T$83,'Div 4'!$T$85:$T$89,'Div 4'!$T$91,'Div 4'!$T$93:$T$103,'Div 4'!$T$105:$T$106,'Div 4'!$T$108,'Div 4'!$T$110:$T$111,'Div 4'!$T$113</definedName>
    <definedName name="OSRRefT22x_0" localSheetId="92">'Div 5'!$T$21:$T$30,'Div 5'!$T$32:$T$41,'Div 5'!$T$43,'Div 5'!$T$45,'Div 5'!$T$47,'Div 5'!$T$49:$T$50,'Div 5'!$T$52,'Div 5'!$T$54,'Div 5'!$T$56,'Div 5'!$T$58:$T$59,'Div 5'!$T$61:$T$62,'Div 5'!$T$64</definedName>
    <definedName name="OSRRefT22x_0" localSheetId="61">'Div 6'!$T$47:$T$56,'Div 6'!$T$58:$T$67,'Div 6'!$T$69,'Div 6'!$T$71,'Div 6'!$T$73,'Div 6'!$T$75,'Div 6'!$T$77:$T$78,'Div 6'!$T$80,'Div 6'!$T$82,'Div 6'!$T$84,'Div 6'!$T$86:$T$88,'Div 6'!$T$90</definedName>
    <definedName name="OSRRefT22x_0" localSheetId="2">Summary!$T$129:$T$138,Summary!$T$140:$T$149,Summary!$T$151,Summary!$T$153:$T$154,Summary!$T$156,Summary!$T$158:$T$160,Summary!$T$162,Summary!$T$164:$T$165,Summary!$T$167,Summary!$T$169,Summary!$T$171:$T$172,Summary!$T$174:$T$176,Summary!$T$178,Summary!$T$180,Summary!$T$182,Summary!$T$184,Summary!$T$186,Summary!$T$188,Summary!$T$190:$T$193,Summary!$T$195:$T$198,Summary!$T$200:$T$204,Summary!$T$206:$T$207,Summary!$T$209:$T$219,Summary!$T$221:$T$222,Summary!$T$224,Summary!$T$226:$T$228,Summary!$T$230</definedName>
    <definedName name="OSRRefT25x_0" localSheetId="42">'202'!$T$69:$T$71</definedName>
    <definedName name="OSRRefT25x_0" localSheetId="48">'300'!$T$195:$T$198</definedName>
    <definedName name="OSRRefT25x_0" localSheetId="49">'300 &amp; 317'!$T$217:$T$221</definedName>
    <definedName name="OSRRefT25x_0" localSheetId="50">'301'!$T$92:$T$93</definedName>
    <definedName name="OSRRefT25x_0" localSheetId="53">'308'!$T$102:$T$104</definedName>
    <definedName name="OSRRefT25x_0" localSheetId="71">'310 &amp; 491'!$T$114:$T$116</definedName>
    <definedName name="OSRRefT25x_0" localSheetId="54">'311'!$T$101:$T$103</definedName>
    <definedName name="OSRRefT25x_0" localSheetId="57">'315'!$T$131:$T$133</definedName>
    <definedName name="OSRRefT25x_0" localSheetId="60">'316'!$T$76</definedName>
    <definedName name="OSRRefT25x_0" localSheetId="62">'317'!$T$93:$T$94</definedName>
    <definedName name="OSRRefT25x_0" localSheetId="56">'331'!$T$149:$T$151</definedName>
    <definedName name="OSRRefT25x_0" localSheetId="59">'332'!$T$76</definedName>
    <definedName name="OSRRefT25x_0" localSheetId="75">'411'!$T$75:$T$76</definedName>
    <definedName name="OSRRefT25x_0" localSheetId="81">'418'!$T$82</definedName>
    <definedName name="OSRRefT25x_0" localSheetId="82">'423'!$T$52</definedName>
    <definedName name="OSRRefT25x_0" localSheetId="85">'455'!$T$21:$T$22</definedName>
    <definedName name="OSRRefT25x_0" localSheetId="72">'491'!$T$109:$T$111</definedName>
    <definedName name="OSRRefT25x_0" localSheetId="93">'501'!$T$67</definedName>
    <definedName name="OSRRefT25x_0" localSheetId="39">'Div 2'!$T$98:$T$100</definedName>
    <definedName name="OSRRefT25x_0" localSheetId="47">'Div 3'!$T$202:$T$205</definedName>
    <definedName name="OSRRefT25x_0" localSheetId="70">'Div 4'!$T$116:$T$118</definedName>
    <definedName name="OSRRefT25x_0" localSheetId="92">'Div 5'!$T$67</definedName>
    <definedName name="OSRRefT25x_0" localSheetId="61">'Div 6'!$T$93:$T$94</definedName>
    <definedName name="OSRRefT25x_0" localSheetId="2">Summary!$T$233:$T$239</definedName>
    <definedName name="_xlnm.Print_Area" localSheetId="38">'100'!$A$1:$Z$34</definedName>
    <definedName name="_xlnm.Print_Area" localSheetId="40">'200'!$A$1:$Z$41</definedName>
    <definedName name="_xlnm.Print_Area" localSheetId="41">'201'!$A$1:$Z$78</definedName>
    <definedName name="_xlnm.Print_Area" localSheetId="42">'202'!$A$1:$Z$83</definedName>
    <definedName name="_xlnm.Print_Area" localSheetId="43">'203'!$A$1:$Z$83</definedName>
    <definedName name="_xlnm.Print_Area" localSheetId="44">'204'!$A$1:$Z$77</definedName>
    <definedName name="_xlnm.Print_Area" localSheetId="45">'205'!$A$1:$Z$64</definedName>
    <definedName name="_xlnm.Print_Area" localSheetId="46">'206'!$A$1:$Z$70</definedName>
    <definedName name="_xlnm.Print_Area" localSheetId="48">'300'!$A$1:$Z$210</definedName>
    <definedName name="_xlnm.Print_Area" localSheetId="49">'300 &amp; 317'!$A$1:$Z$233</definedName>
    <definedName name="_xlnm.Print_Area" localSheetId="50">'301'!$A$1:$Z$105</definedName>
    <definedName name="_xlnm.Print_Area" localSheetId="52">'307'!$A$1:$Z$93</definedName>
    <definedName name="_xlnm.Print_Area" localSheetId="53">'308'!$A$1:$Z$116</definedName>
    <definedName name="_xlnm.Print_Area" localSheetId="64">'309'!$A$1:$Z$65</definedName>
    <definedName name="_xlnm.Print_Area" localSheetId="63">'310'!$A$1:$Z$104</definedName>
    <definedName name="_xlnm.Print_Area" localSheetId="71">'310 &amp; 491'!$A$1:$Z$128</definedName>
    <definedName name="_xlnm.Print_Area" localSheetId="54">'311'!$A$1:$Z$115</definedName>
    <definedName name="_xlnm.Print_Area" localSheetId="65">'313'!$A$1:$Z$77</definedName>
    <definedName name="_xlnm.Print_Area" localSheetId="57">'315'!$A$1:$Z$145</definedName>
    <definedName name="_xlnm.Print_Area" localSheetId="60">'316'!$A$1:$Z$88</definedName>
    <definedName name="_xlnm.Print_Area" localSheetId="62">'317'!$A$1:$Z$106</definedName>
    <definedName name="_xlnm.Print_Area" localSheetId="66">'321'!$A$1:$Z$86</definedName>
    <definedName name="_xlnm.Print_Area" localSheetId="67">'322'!$A$1:$Z$78</definedName>
    <definedName name="_xlnm.Print_Area" localSheetId="55">'324'!$A$1:$Z$59</definedName>
    <definedName name="_xlnm.Print_Area" localSheetId="68">'325'!$A$1:$Z$86</definedName>
    <definedName name="_xlnm.Print_Area" localSheetId="58">'326'!$A$1:$Z$121</definedName>
    <definedName name="_xlnm.Print_Area" localSheetId="69">'327'!$A$1:$Z$38</definedName>
    <definedName name="_xlnm.Print_Area" localSheetId="51">'330'!$A$1:$Z$93</definedName>
    <definedName name="_xlnm.Print_Area" localSheetId="56">'331'!$A$1:$Z$163</definedName>
    <definedName name="_xlnm.Print_Area" localSheetId="59">'332'!$A$1:$Z$88</definedName>
    <definedName name="_xlnm.Print_Area" localSheetId="73">'405'!$A$1:$Z$94</definedName>
    <definedName name="_xlnm.Print_Area" localSheetId="74">'406'!$A$1:$Z$42</definedName>
    <definedName name="_xlnm.Print_Area" localSheetId="75">'411'!$A$1:$Z$88</definedName>
    <definedName name="_xlnm.Print_Area" localSheetId="76">'412'!$A$1:$Z$88</definedName>
    <definedName name="_xlnm.Print_Area" localSheetId="78">'413'!$A$1:$Z$84</definedName>
    <definedName name="_xlnm.Print_Area" localSheetId="79">'414'!$A$1:$Z$85</definedName>
    <definedName name="_xlnm.Print_Area" localSheetId="80">'415'!$A$1:$Z$101</definedName>
    <definedName name="_xlnm.Print_Area" localSheetId="81">'418'!$A$1:$Z$94</definedName>
    <definedName name="_xlnm.Print_Area" localSheetId="77">'420'!$A$1:$Z$32</definedName>
    <definedName name="_xlnm.Print_Area" localSheetId="82">'423'!$A$1:$Z$64</definedName>
    <definedName name="_xlnm.Print_Area" localSheetId="83">'424'!$A$1:$Z$40</definedName>
    <definedName name="_xlnm.Print_Area" localSheetId="84">'425'!$A$1:$Z$46</definedName>
    <definedName name="_xlnm.Print_Area" localSheetId="87">'430'!$A$1:$Z$64</definedName>
    <definedName name="_xlnm.Print_Area" localSheetId="88">'433'!$A$1:$Z$98</definedName>
    <definedName name="_xlnm.Print_Area" localSheetId="89">'435'!$A$1:$Z$34</definedName>
    <definedName name="_xlnm.Print_Area" localSheetId="90">'444'!$A$1:$Z$102</definedName>
    <definedName name="_xlnm.Print_Area" localSheetId="91">'450'!$A$1:$Z$94</definedName>
    <definedName name="_xlnm.Print_Area" localSheetId="85">'455'!$A$1:$Z$34</definedName>
    <definedName name="_xlnm.Print_Area" localSheetId="72">'491'!$A$1:$Z$123</definedName>
    <definedName name="_xlnm.Print_Area" localSheetId="86">'492'!$A$1:$Z$108</definedName>
    <definedName name="_xlnm.Print_Area" localSheetId="93">'501'!$A$1:$Z$79</definedName>
    <definedName name="_xlnm.Print_Area" localSheetId="94">Dept!$A$1:$Z$39</definedName>
    <definedName name="_xlnm.Print_Area" localSheetId="5">'Div 1'!$A$1:$Z$34</definedName>
    <definedName name="_xlnm.Print_Area" localSheetId="39">'Div 2'!$A$1:$Z$112</definedName>
    <definedName name="_xlnm.Print_Area" localSheetId="47">'Div 3'!$A$1:$Z$217</definedName>
    <definedName name="_xlnm.Print_Area" localSheetId="70">'Div 4'!$A$1:$Z$130</definedName>
    <definedName name="_xlnm.Print_Area" localSheetId="92">'Div 5'!$A$1:$Z$79</definedName>
    <definedName name="_xlnm.Print_Area" localSheetId="61">'Div 6'!$A$1:$Z$106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Summary!$A$1:$Z$253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8">'413'!$A:$C,'413'!$1:$10</definedName>
    <definedName name="_xlnm.Print_Titles" localSheetId="79">'414'!$A:$C,'414'!$1:$10</definedName>
    <definedName name="_xlnm.Print_Titles" localSheetId="80">'415'!$A:$C,'415'!$1:$10</definedName>
    <definedName name="_xlnm.Print_Titles" localSheetId="81">'418'!$A:$C,'418'!$1:$10</definedName>
    <definedName name="_xlnm.Print_Titles" localSheetId="77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1" i="109" l="1"/>
  <c r="X71" i="109"/>
  <c r="N71" i="109"/>
  <c r="L71" i="109"/>
  <c r="J71" i="109"/>
  <c r="X67" i="109"/>
  <c r="Z67" i="109" s="1"/>
  <c r="R67" i="109"/>
  <c r="P67" i="109"/>
  <c r="N67" i="109"/>
  <c r="L67" i="109"/>
  <c r="D67" i="109"/>
  <c r="B67" i="109"/>
  <c r="Z66" i="109"/>
  <c r="X66" i="109"/>
  <c r="V66" i="109"/>
  <c r="T66" i="109"/>
  <c r="R66" i="109"/>
  <c r="P66" i="109"/>
  <c r="L66" i="109"/>
  <c r="N66" i="109" s="1"/>
  <c r="H66" i="109"/>
  <c r="D66" i="109"/>
  <c r="Z64" i="109"/>
  <c r="X64" i="109"/>
  <c r="N64" i="109"/>
  <c r="L64" i="109"/>
  <c r="J64" i="109"/>
  <c r="B64" i="109"/>
  <c r="Z63" i="109"/>
  <c r="X63" i="109"/>
  <c r="T63" i="109"/>
  <c r="P63" i="109"/>
  <c r="L63" i="109"/>
  <c r="N63" i="109" s="1"/>
  <c r="J63" i="109"/>
  <c r="H63" i="109"/>
  <c r="D63" i="109"/>
  <c r="B63" i="109"/>
  <c r="Z62" i="109"/>
  <c r="X62" i="109"/>
  <c r="R62" i="109"/>
  <c r="N62" i="109"/>
  <c r="L62" i="109"/>
  <c r="J62" i="109"/>
  <c r="B62" i="109"/>
  <c r="Z61" i="109"/>
  <c r="X61" i="109"/>
  <c r="N61" i="109"/>
  <c r="L61" i="109"/>
  <c r="J61" i="109"/>
  <c r="B61" i="109"/>
  <c r="X60" i="109"/>
  <c r="Z60" i="109" s="1"/>
  <c r="T60" i="109"/>
  <c r="P60" i="109"/>
  <c r="L60" i="109"/>
  <c r="N60" i="109" s="1"/>
  <c r="J60" i="109"/>
  <c r="H60" i="109"/>
  <c r="D60" i="109"/>
  <c r="B60" i="109"/>
  <c r="Z59" i="109"/>
  <c r="X59" i="109"/>
  <c r="N59" i="109"/>
  <c r="L59" i="109"/>
  <c r="J59" i="109"/>
  <c r="B59" i="109"/>
  <c r="Z58" i="109"/>
  <c r="X58" i="109"/>
  <c r="R58" i="109"/>
  <c r="N58" i="109"/>
  <c r="L58" i="109"/>
  <c r="B58" i="109"/>
  <c r="Z57" i="109"/>
  <c r="X57" i="109"/>
  <c r="T57" i="109"/>
  <c r="P57" i="109"/>
  <c r="N57" i="109"/>
  <c r="L57" i="109"/>
  <c r="J57" i="109"/>
  <c r="H57" i="109"/>
  <c r="D57" i="109"/>
  <c r="B57" i="109"/>
  <c r="Z56" i="109"/>
  <c r="X56" i="109"/>
  <c r="N56" i="109"/>
  <c r="L56" i="109"/>
  <c r="J56" i="109"/>
  <c r="B56" i="109"/>
  <c r="Z55" i="109"/>
  <c r="X55" i="109"/>
  <c r="T55" i="109"/>
  <c r="R55" i="109"/>
  <c r="P55" i="109"/>
  <c r="N55" i="109"/>
  <c r="L55" i="109"/>
  <c r="J55" i="109"/>
  <c r="H55" i="109"/>
  <c r="D55" i="109"/>
  <c r="B55" i="109"/>
  <c r="Z54" i="109"/>
  <c r="X54" i="109"/>
  <c r="R54" i="109"/>
  <c r="N54" i="109"/>
  <c r="L54" i="109"/>
  <c r="J54" i="109"/>
  <c r="B54" i="109"/>
  <c r="Z53" i="109"/>
  <c r="X53" i="109"/>
  <c r="T53" i="109"/>
  <c r="R53" i="109"/>
  <c r="P53" i="109"/>
  <c r="N53" i="109"/>
  <c r="L53" i="109"/>
  <c r="H53" i="109"/>
  <c r="D53" i="109"/>
  <c r="B53" i="109"/>
  <c r="X52" i="109"/>
  <c r="Z52" i="109" s="1"/>
  <c r="R52" i="109"/>
  <c r="N52" i="109"/>
  <c r="L52" i="109"/>
  <c r="J52" i="109"/>
  <c r="B52" i="109"/>
  <c r="Z51" i="109"/>
  <c r="X51" i="109"/>
  <c r="T51" i="109"/>
  <c r="R51" i="109"/>
  <c r="P51" i="109"/>
  <c r="L51" i="109"/>
  <c r="N51" i="109" s="1"/>
  <c r="J51" i="109"/>
  <c r="H51" i="109"/>
  <c r="D51" i="109"/>
  <c r="B51" i="109"/>
  <c r="Z50" i="109"/>
  <c r="X50" i="109"/>
  <c r="R50" i="109"/>
  <c r="N50" i="109"/>
  <c r="L50" i="109"/>
  <c r="J50" i="109"/>
  <c r="B50" i="109"/>
  <c r="Z49" i="109"/>
  <c r="X49" i="109"/>
  <c r="R49" i="109"/>
  <c r="N49" i="109"/>
  <c r="L49" i="109"/>
  <c r="J49" i="109"/>
  <c r="B49" i="109"/>
  <c r="X48" i="109"/>
  <c r="Z48" i="109" s="1"/>
  <c r="T48" i="109"/>
  <c r="P48" i="109"/>
  <c r="H48" i="109"/>
  <c r="D48" i="109"/>
  <c r="B48" i="109"/>
  <c r="Z47" i="109"/>
  <c r="X47" i="109"/>
  <c r="R47" i="109"/>
  <c r="N47" i="109"/>
  <c r="L47" i="109"/>
  <c r="J47" i="109"/>
  <c r="B47" i="109"/>
  <c r="X46" i="109"/>
  <c r="Z46" i="109" s="1"/>
  <c r="T46" i="109"/>
  <c r="P46" i="109"/>
  <c r="J46" i="109"/>
  <c r="H46" i="109"/>
  <c r="D46" i="109"/>
  <c r="L46" i="109" s="1"/>
  <c r="N46" i="109" s="1"/>
  <c r="B46" i="109"/>
  <c r="Z45" i="109"/>
  <c r="X45" i="109"/>
  <c r="R45" i="109"/>
  <c r="N45" i="109"/>
  <c r="L45" i="109"/>
  <c r="J45" i="109"/>
  <c r="B45" i="109"/>
  <c r="X44" i="109"/>
  <c r="Z44" i="109" s="1"/>
  <c r="T44" i="109"/>
  <c r="P44" i="109"/>
  <c r="H44" i="109"/>
  <c r="D44" i="109"/>
  <c r="B44" i="109"/>
  <c r="Z43" i="109"/>
  <c r="X43" i="109"/>
  <c r="R43" i="109"/>
  <c r="N43" i="109"/>
  <c r="L43" i="109"/>
  <c r="J43" i="109"/>
  <c r="B43" i="109"/>
  <c r="T42" i="109"/>
  <c r="X42" i="109" s="1"/>
  <c r="P42" i="109"/>
  <c r="J42" i="109"/>
  <c r="H42" i="109"/>
  <c r="D42" i="109"/>
  <c r="L42" i="109" s="1"/>
  <c r="N42" i="109" s="1"/>
  <c r="B42" i="109"/>
  <c r="Z41" i="109"/>
  <c r="X41" i="109"/>
  <c r="N41" i="109"/>
  <c r="L41" i="109"/>
  <c r="J41" i="109"/>
  <c r="B41" i="109"/>
  <c r="Z40" i="109"/>
  <c r="X40" i="109"/>
  <c r="V40" i="109"/>
  <c r="R40" i="109"/>
  <c r="N40" i="109"/>
  <c r="L40" i="109"/>
  <c r="B40" i="109"/>
  <c r="Z39" i="109"/>
  <c r="X39" i="109"/>
  <c r="N39" i="109"/>
  <c r="L39" i="109"/>
  <c r="J39" i="109"/>
  <c r="B39" i="109"/>
  <c r="Z38" i="109"/>
  <c r="X38" i="109"/>
  <c r="R38" i="109"/>
  <c r="N38" i="109"/>
  <c r="L38" i="109"/>
  <c r="J38" i="109"/>
  <c r="B38" i="109"/>
  <c r="Z37" i="109"/>
  <c r="X37" i="109"/>
  <c r="V37" i="109"/>
  <c r="N37" i="109"/>
  <c r="L37" i="109"/>
  <c r="J37" i="109"/>
  <c r="B37" i="109"/>
  <c r="Z36" i="109"/>
  <c r="X36" i="109"/>
  <c r="R36" i="109"/>
  <c r="N36" i="109"/>
  <c r="L36" i="109"/>
  <c r="B36" i="109"/>
  <c r="Z35" i="109"/>
  <c r="X35" i="109"/>
  <c r="R35" i="109"/>
  <c r="N35" i="109"/>
  <c r="L35" i="109"/>
  <c r="J35" i="109"/>
  <c r="B35" i="109"/>
  <c r="Z34" i="109"/>
  <c r="X34" i="109"/>
  <c r="R34" i="109"/>
  <c r="N34" i="109"/>
  <c r="L34" i="109"/>
  <c r="J34" i="109"/>
  <c r="B34" i="109"/>
  <c r="Z33" i="109"/>
  <c r="X33" i="109"/>
  <c r="N33" i="109"/>
  <c r="L33" i="109"/>
  <c r="J33" i="109"/>
  <c r="B33" i="109"/>
  <c r="Z32" i="109"/>
  <c r="X32" i="109"/>
  <c r="R32" i="109"/>
  <c r="L32" i="109"/>
  <c r="N32" i="109" s="1"/>
  <c r="F32" i="109"/>
  <c r="B32" i="109"/>
  <c r="Z31" i="109"/>
  <c r="X31" i="109"/>
  <c r="T31" i="109"/>
  <c r="R31" i="109"/>
  <c r="P31" i="109"/>
  <c r="N31" i="109"/>
  <c r="L31" i="109"/>
  <c r="J31" i="109"/>
  <c r="H31" i="109"/>
  <c r="D31" i="109"/>
  <c r="B31" i="109"/>
  <c r="Z30" i="109"/>
  <c r="X30" i="109"/>
  <c r="R30" i="109"/>
  <c r="N30" i="109"/>
  <c r="L30" i="109"/>
  <c r="B30" i="109"/>
  <c r="Z29" i="109"/>
  <c r="X29" i="109"/>
  <c r="V29" i="109"/>
  <c r="N29" i="109"/>
  <c r="L29" i="109"/>
  <c r="J29" i="109"/>
  <c r="B29" i="109"/>
  <c r="X28" i="109"/>
  <c r="Z28" i="109" s="1"/>
  <c r="N28" i="109"/>
  <c r="L28" i="109"/>
  <c r="J28" i="109"/>
  <c r="B28" i="109"/>
  <c r="Z27" i="109"/>
  <c r="X27" i="109"/>
  <c r="N27" i="109"/>
  <c r="L27" i="109"/>
  <c r="J27" i="109"/>
  <c r="B27" i="109"/>
  <c r="Z26" i="109"/>
  <c r="X26" i="109"/>
  <c r="V26" i="109"/>
  <c r="R26" i="109"/>
  <c r="N26" i="109"/>
  <c r="L26" i="109"/>
  <c r="B26" i="109"/>
  <c r="Z25" i="109"/>
  <c r="X25" i="109"/>
  <c r="V25" i="109"/>
  <c r="N25" i="109"/>
  <c r="L25" i="109"/>
  <c r="J25" i="109"/>
  <c r="B25" i="109"/>
  <c r="X24" i="109"/>
  <c r="Z24" i="109" s="1"/>
  <c r="L24" i="109"/>
  <c r="N24" i="109" s="1"/>
  <c r="J24" i="109"/>
  <c r="B24" i="109"/>
  <c r="Z23" i="109"/>
  <c r="X23" i="109"/>
  <c r="V23" i="109"/>
  <c r="N23" i="109"/>
  <c r="L23" i="109"/>
  <c r="J23" i="109"/>
  <c r="B23" i="109"/>
  <c r="Z22" i="109"/>
  <c r="X22" i="109"/>
  <c r="V22" i="109"/>
  <c r="R22" i="109"/>
  <c r="N22" i="109"/>
  <c r="L22" i="109"/>
  <c r="F22" i="109"/>
  <c r="B22" i="109"/>
  <c r="Z21" i="109"/>
  <c r="X21" i="109"/>
  <c r="V21" i="109"/>
  <c r="N21" i="109"/>
  <c r="L21" i="109"/>
  <c r="J21" i="109"/>
  <c r="B21" i="109"/>
  <c r="T20" i="109"/>
  <c r="P20" i="109"/>
  <c r="X20" i="109" s="1"/>
  <c r="Z20" i="109" s="1"/>
  <c r="L20" i="109"/>
  <c r="H20" i="109"/>
  <c r="N20" i="109" s="1"/>
  <c r="D20" i="109"/>
  <c r="B20" i="109"/>
  <c r="Z19" i="109"/>
  <c r="X19" i="109"/>
  <c r="V19" i="109"/>
  <c r="T19" i="109"/>
  <c r="R19" i="109"/>
  <c r="P19" i="109"/>
  <c r="N19" i="109"/>
  <c r="L19" i="109"/>
  <c r="J19" i="109"/>
  <c r="H19" i="109"/>
  <c r="D19" i="109"/>
  <c r="T17" i="109"/>
  <c r="R17" i="109"/>
  <c r="P17" i="109"/>
  <c r="Z15" i="109"/>
  <c r="V15" i="109"/>
  <c r="T15" i="109"/>
  <c r="P15" i="109"/>
  <c r="H15" i="109"/>
  <c r="D15" i="109"/>
  <c r="Z13" i="109"/>
  <c r="X13" i="109"/>
  <c r="P13" i="109"/>
  <c r="D13" i="109"/>
  <c r="L13" i="109" s="1"/>
  <c r="N13" i="109" s="1"/>
  <c r="B13" i="109"/>
  <c r="T12" i="109"/>
  <c r="P12" i="109"/>
  <c r="R46" i="109" s="1"/>
  <c r="H12" i="109"/>
  <c r="J53" i="109" s="1"/>
  <c r="D12" i="109"/>
  <c r="F33" i="109" s="1"/>
  <c r="D6" i="109"/>
  <c r="D4" i="109"/>
  <c r="V31" i="108"/>
  <c r="R31" i="108"/>
  <c r="F31" i="108"/>
  <c r="V28" i="108"/>
  <c r="R28" i="108"/>
  <c r="Z26" i="108"/>
  <c r="X26" i="108"/>
  <c r="V26" i="108"/>
  <c r="R26" i="108"/>
  <c r="N26" i="108"/>
  <c r="L26" i="108"/>
  <c r="F26" i="108"/>
  <c r="V24" i="108"/>
  <c r="T24" i="108"/>
  <c r="Z24" i="108" s="1"/>
  <c r="R24" i="108"/>
  <c r="J24" i="108"/>
  <c r="Z22" i="108"/>
  <c r="X22" i="108"/>
  <c r="V22" i="108"/>
  <c r="R22" i="108"/>
  <c r="P22" i="108"/>
  <c r="N22" i="108"/>
  <c r="L22" i="108"/>
  <c r="J22" i="108"/>
  <c r="F22" i="108"/>
  <c r="D22" i="108"/>
  <c r="B22" i="108"/>
  <c r="Z21" i="108"/>
  <c r="V21" i="108"/>
  <c r="R21" i="108"/>
  <c r="P21" i="108"/>
  <c r="X21" i="108" s="1"/>
  <c r="N21" i="108"/>
  <c r="F21" i="108"/>
  <c r="D21" i="108"/>
  <c r="L21" i="108" s="1"/>
  <c r="B21" i="108"/>
  <c r="Z20" i="108"/>
  <c r="T20" i="108"/>
  <c r="R20" i="108"/>
  <c r="N20" i="108"/>
  <c r="J20" i="108"/>
  <c r="H20" i="108"/>
  <c r="F20" i="108"/>
  <c r="Z18" i="108"/>
  <c r="T18" i="108"/>
  <c r="R18" i="108"/>
  <c r="P18" i="108"/>
  <c r="X18" i="108" s="1"/>
  <c r="H18" i="108"/>
  <c r="L18" i="108" s="1"/>
  <c r="D18" i="108"/>
  <c r="T16" i="108"/>
  <c r="Z16" i="108" s="1"/>
  <c r="R16" i="108"/>
  <c r="J16" i="108"/>
  <c r="D16" i="108"/>
  <c r="Z14" i="108"/>
  <c r="T14" i="108"/>
  <c r="R14" i="108"/>
  <c r="P14" i="108"/>
  <c r="J14" i="108"/>
  <c r="H14" i="108"/>
  <c r="H16" i="108" s="1"/>
  <c r="F14" i="108"/>
  <c r="D14" i="108"/>
  <c r="Z12" i="108"/>
  <c r="X12" i="108"/>
  <c r="T12" i="108"/>
  <c r="V20" i="108" s="1"/>
  <c r="P12" i="108"/>
  <c r="N12" i="108"/>
  <c r="L12" i="108"/>
  <c r="H12" i="108"/>
  <c r="D12" i="108"/>
  <c r="F24" i="108" s="1"/>
  <c r="D6" i="108"/>
  <c r="D4" i="108"/>
  <c r="Z86" i="107"/>
  <c r="X86" i="107"/>
  <c r="N86" i="107"/>
  <c r="L86" i="107"/>
  <c r="X82" i="107"/>
  <c r="T82" i="107"/>
  <c r="Z82" i="107" s="1"/>
  <c r="P82" i="107"/>
  <c r="N82" i="107"/>
  <c r="H82" i="107"/>
  <c r="F82" i="107"/>
  <c r="D82" i="107"/>
  <c r="L82" i="107" s="1"/>
  <c r="Z80" i="107"/>
  <c r="X80" i="107"/>
  <c r="V80" i="107"/>
  <c r="N80" i="107"/>
  <c r="L80" i="107"/>
  <c r="B80" i="107"/>
  <c r="T79" i="107"/>
  <c r="P79" i="107"/>
  <c r="N79" i="107"/>
  <c r="L79" i="107"/>
  <c r="H79" i="107"/>
  <c r="D79" i="107"/>
  <c r="B79" i="107"/>
  <c r="Z78" i="107"/>
  <c r="X78" i="107"/>
  <c r="V78" i="107"/>
  <c r="N78" i="107"/>
  <c r="L78" i="107"/>
  <c r="B78" i="107"/>
  <c r="Z77" i="107"/>
  <c r="X77" i="107"/>
  <c r="L77" i="107"/>
  <c r="N77" i="107" s="1"/>
  <c r="B77" i="107"/>
  <c r="T76" i="107"/>
  <c r="P76" i="107"/>
  <c r="X76" i="107" s="1"/>
  <c r="H76" i="107"/>
  <c r="D76" i="107"/>
  <c r="B76" i="107"/>
  <c r="Z75" i="107"/>
  <c r="X75" i="107"/>
  <c r="N75" i="107"/>
  <c r="L75" i="107"/>
  <c r="B75" i="107"/>
  <c r="X74" i="107"/>
  <c r="Z74" i="107" s="1"/>
  <c r="V74" i="107"/>
  <c r="N74" i="107"/>
  <c r="L74" i="107"/>
  <c r="B74" i="107"/>
  <c r="X73" i="107"/>
  <c r="Z73" i="107" s="1"/>
  <c r="N73" i="107"/>
  <c r="L73" i="107"/>
  <c r="B73" i="107"/>
  <c r="X72" i="107"/>
  <c r="Z72" i="107" s="1"/>
  <c r="N72" i="107"/>
  <c r="L72" i="107"/>
  <c r="J72" i="107"/>
  <c r="B72" i="107"/>
  <c r="Z71" i="107"/>
  <c r="X71" i="107"/>
  <c r="V71" i="107"/>
  <c r="L71" i="107"/>
  <c r="N71" i="107" s="1"/>
  <c r="B71" i="107"/>
  <c r="X70" i="107"/>
  <c r="Z70" i="107" s="1"/>
  <c r="L70" i="107"/>
  <c r="N70" i="107" s="1"/>
  <c r="B70" i="107"/>
  <c r="X69" i="107"/>
  <c r="T69" i="107"/>
  <c r="P69" i="107"/>
  <c r="N69" i="107"/>
  <c r="H69" i="107"/>
  <c r="D69" i="107"/>
  <c r="L69" i="107" s="1"/>
  <c r="B69" i="107"/>
  <c r="Z68" i="107"/>
  <c r="X68" i="107"/>
  <c r="N68" i="107"/>
  <c r="L68" i="107"/>
  <c r="B68" i="107"/>
  <c r="X67" i="107"/>
  <c r="Z67" i="107" s="1"/>
  <c r="L67" i="107"/>
  <c r="N67" i="107" s="1"/>
  <c r="B67" i="107"/>
  <c r="X66" i="107"/>
  <c r="Z66" i="107" s="1"/>
  <c r="N66" i="107"/>
  <c r="L66" i="107"/>
  <c r="B66" i="107"/>
  <c r="X65" i="107"/>
  <c r="V65" i="107"/>
  <c r="T65" i="107"/>
  <c r="P65" i="107"/>
  <c r="L65" i="107"/>
  <c r="N65" i="107" s="1"/>
  <c r="J65" i="107"/>
  <c r="H65" i="107"/>
  <c r="F65" i="107"/>
  <c r="D65" i="107"/>
  <c r="B65" i="107"/>
  <c r="X64" i="107"/>
  <c r="Z64" i="107" s="1"/>
  <c r="V64" i="107"/>
  <c r="L64" i="107"/>
  <c r="N64" i="107" s="1"/>
  <c r="B64" i="107"/>
  <c r="T63" i="107"/>
  <c r="P63" i="107"/>
  <c r="H63" i="107"/>
  <c r="D63" i="107"/>
  <c r="B63" i="107"/>
  <c r="X62" i="107"/>
  <c r="Z62" i="107" s="1"/>
  <c r="V62" i="107"/>
  <c r="N62" i="107"/>
  <c r="L62" i="107"/>
  <c r="F62" i="107"/>
  <c r="B62" i="107"/>
  <c r="V61" i="107"/>
  <c r="T61" i="107"/>
  <c r="P61" i="107"/>
  <c r="X61" i="107" s="1"/>
  <c r="Z61" i="107" s="1"/>
  <c r="H61" i="107"/>
  <c r="D61" i="107"/>
  <c r="L61" i="107" s="1"/>
  <c r="N61" i="107" s="1"/>
  <c r="B61" i="107"/>
  <c r="X60" i="107"/>
  <c r="Z60" i="107" s="1"/>
  <c r="L60" i="107"/>
  <c r="N60" i="107" s="1"/>
  <c r="J60" i="107"/>
  <c r="B60" i="107"/>
  <c r="Z59" i="107"/>
  <c r="X59" i="107"/>
  <c r="V59" i="107"/>
  <c r="T59" i="107"/>
  <c r="P59" i="107"/>
  <c r="L59" i="107"/>
  <c r="J59" i="107"/>
  <c r="H59" i="107"/>
  <c r="D59" i="107"/>
  <c r="B59" i="107"/>
  <c r="X58" i="107"/>
  <c r="Z58" i="107" s="1"/>
  <c r="L58" i="107"/>
  <c r="N58" i="107" s="1"/>
  <c r="J58" i="107"/>
  <c r="B58" i="107"/>
  <c r="T57" i="107"/>
  <c r="P57" i="107"/>
  <c r="H57" i="107"/>
  <c r="D57" i="107"/>
  <c r="B57" i="107"/>
  <c r="Z56" i="107"/>
  <c r="X56" i="107"/>
  <c r="V56" i="107"/>
  <c r="N56" i="107"/>
  <c r="L56" i="107"/>
  <c r="B56" i="107"/>
  <c r="Z55" i="107"/>
  <c r="X55" i="107"/>
  <c r="T55" i="107"/>
  <c r="P55" i="107"/>
  <c r="N55" i="107"/>
  <c r="J55" i="107"/>
  <c r="H55" i="107"/>
  <c r="D55" i="107"/>
  <c r="L55" i="107" s="1"/>
  <c r="B55" i="107"/>
  <c r="Z54" i="107"/>
  <c r="X54" i="107"/>
  <c r="V54" i="107"/>
  <c r="N54" i="107"/>
  <c r="L54" i="107"/>
  <c r="B54" i="107"/>
  <c r="V53" i="107"/>
  <c r="T53" i="107"/>
  <c r="P53" i="107"/>
  <c r="L53" i="107"/>
  <c r="N53" i="107" s="1"/>
  <c r="J53" i="107"/>
  <c r="H53" i="107"/>
  <c r="D53" i="107"/>
  <c r="B53" i="107"/>
  <c r="X52" i="107"/>
  <c r="Z52" i="107" s="1"/>
  <c r="V52" i="107"/>
  <c r="L52" i="107"/>
  <c r="N52" i="107" s="1"/>
  <c r="J52" i="107"/>
  <c r="B52" i="107"/>
  <c r="T51" i="107"/>
  <c r="V51" i="107" s="1"/>
  <c r="P51" i="107"/>
  <c r="H51" i="107"/>
  <c r="D51" i="107"/>
  <c r="B51" i="107"/>
  <c r="X50" i="107"/>
  <c r="Z50" i="107" s="1"/>
  <c r="V50" i="107"/>
  <c r="N50" i="107"/>
  <c r="L50" i="107"/>
  <c r="F50" i="107"/>
  <c r="B50" i="107"/>
  <c r="V49" i="107"/>
  <c r="T49" i="107"/>
  <c r="P49" i="107"/>
  <c r="X49" i="107" s="1"/>
  <c r="Z49" i="107" s="1"/>
  <c r="L49" i="107"/>
  <c r="N49" i="107" s="1"/>
  <c r="H49" i="107"/>
  <c r="D49" i="107"/>
  <c r="B49" i="107"/>
  <c r="X48" i="107"/>
  <c r="Z48" i="107" s="1"/>
  <c r="L48" i="107"/>
  <c r="N48" i="107" s="1"/>
  <c r="J48" i="107"/>
  <c r="B48" i="107"/>
  <c r="X47" i="107"/>
  <c r="Z47" i="107" s="1"/>
  <c r="V47" i="107"/>
  <c r="T47" i="107"/>
  <c r="P47" i="107"/>
  <c r="L47" i="107"/>
  <c r="J47" i="107"/>
  <c r="H47" i="107"/>
  <c r="D47" i="107"/>
  <c r="B47" i="107"/>
  <c r="X46" i="107"/>
  <c r="Z46" i="107" s="1"/>
  <c r="L46" i="107"/>
  <c r="N46" i="107" s="1"/>
  <c r="B46" i="107"/>
  <c r="T45" i="107"/>
  <c r="P45" i="107"/>
  <c r="H45" i="107"/>
  <c r="N45" i="107" s="1"/>
  <c r="D45" i="107"/>
  <c r="L45" i="107" s="1"/>
  <c r="B45" i="107"/>
  <c r="X44" i="107"/>
  <c r="Z44" i="107" s="1"/>
  <c r="V44" i="107"/>
  <c r="L44" i="107"/>
  <c r="N44" i="107" s="1"/>
  <c r="B44" i="107"/>
  <c r="T43" i="107"/>
  <c r="P43" i="107"/>
  <c r="X43" i="107" s="1"/>
  <c r="N43" i="107"/>
  <c r="J43" i="107"/>
  <c r="H43" i="107"/>
  <c r="D43" i="107"/>
  <c r="L43" i="107" s="1"/>
  <c r="B43" i="107"/>
  <c r="Z42" i="107"/>
  <c r="X42" i="107"/>
  <c r="V42" i="107"/>
  <c r="N42" i="107"/>
  <c r="L42" i="107"/>
  <c r="B42" i="107"/>
  <c r="Z41" i="107"/>
  <c r="X41" i="107"/>
  <c r="V41" i="107"/>
  <c r="N41" i="107"/>
  <c r="L41" i="107"/>
  <c r="B41" i="107"/>
  <c r="Z40" i="107"/>
  <c r="X40" i="107"/>
  <c r="N40" i="107"/>
  <c r="L40" i="107"/>
  <c r="B40" i="107"/>
  <c r="X39" i="107"/>
  <c r="Z39" i="107" s="1"/>
  <c r="V39" i="107"/>
  <c r="N39" i="107"/>
  <c r="L39" i="107"/>
  <c r="B39" i="107"/>
  <c r="Z38" i="107"/>
  <c r="X38" i="107"/>
  <c r="V38" i="107"/>
  <c r="N38" i="107"/>
  <c r="L38" i="107"/>
  <c r="B38" i="107"/>
  <c r="X37" i="107"/>
  <c r="Z37" i="107" s="1"/>
  <c r="V37" i="107"/>
  <c r="L37" i="107"/>
  <c r="N37" i="107" s="1"/>
  <c r="J37" i="107"/>
  <c r="B37" i="107"/>
  <c r="X36" i="107"/>
  <c r="Z36" i="107" s="1"/>
  <c r="L36" i="107"/>
  <c r="N36" i="107" s="1"/>
  <c r="J36" i="107"/>
  <c r="B36" i="107"/>
  <c r="Z35" i="107"/>
  <c r="X35" i="107"/>
  <c r="V35" i="107"/>
  <c r="N35" i="107"/>
  <c r="L35" i="107"/>
  <c r="F35" i="107"/>
  <c r="B35" i="107"/>
  <c r="Z34" i="107"/>
  <c r="X34" i="107"/>
  <c r="V34" i="107"/>
  <c r="N34" i="107"/>
  <c r="L34" i="107"/>
  <c r="B34" i="107"/>
  <c r="Z33" i="107"/>
  <c r="X33" i="107"/>
  <c r="V33" i="107"/>
  <c r="N33" i="107"/>
  <c r="L33" i="107"/>
  <c r="J33" i="107"/>
  <c r="B33" i="107"/>
  <c r="T32" i="107"/>
  <c r="P32" i="107"/>
  <c r="X32" i="107" s="1"/>
  <c r="H32" i="107"/>
  <c r="J32" i="107" s="1"/>
  <c r="D32" i="107"/>
  <c r="B32" i="107"/>
  <c r="Z31" i="107"/>
  <c r="X31" i="107"/>
  <c r="V31" i="107"/>
  <c r="N31" i="107"/>
  <c r="L31" i="107"/>
  <c r="F31" i="107"/>
  <c r="B31" i="107"/>
  <c r="Z30" i="107"/>
  <c r="X30" i="107"/>
  <c r="L30" i="107"/>
  <c r="N30" i="107" s="1"/>
  <c r="J30" i="107"/>
  <c r="F30" i="107"/>
  <c r="B30" i="107"/>
  <c r="X29" i="107"/>
  <c r="Z29" i="107" s="1"/>
  <c r="V29" i="107"/>
  <c r="N29" i="107"/>
  <c r="L29" i="107"/>
  <c r="J29" i="107"/>
  <c r="B29" i="107"/>
  <c r="Z28" i="107"/>
  <c r="X28" i="107"/>
  <c r="V28" i="107"/>
  <c r="N28" i="107"/>
  <c r="L28" i="107"/>
  <c r="B28" i="107"/>
  <c r="Z27" i="107"/>
  <c r="X27" i="107"/>
  <c r="V27" i="107"/>
  <c r="N27" i="107"/>
  <c r="L27" i="107"/>
  <c r="F27" i="107"/>
  <c r="B27" i="107"/>
  <c r="Z26" i="107"/>
  <c r="X26" i="107"/>
  <c r="L26" i="107"/>
  <c r="N26" i="107" s="1"/>
  <c r="J26" i="107"/>
  <c r="B26" i="107"/>
  <c r="X25" i="107"/>
  <c r="Z25" i="107" s="1"/>
  <c r="V25" i="107"/>
  <c r="N25" i="107"/>
  <c r="L25" i="107"/>
  <c r="B25" i="107"/>
  <c r="X24" i="107"/>
  <c r="Z24" i="107" s="1"/>
  <c r="V24" i="107"/>
  <c r="L24" i="107"/>
  <c r="N24" i="107" s="1"/>
  <c r="B24" i="107"/>
  <c r="Z23" i="107"/>
  <c r="X23" i="107"/>
  <c r="V23" i="107"/>
  <c r="L23" i="107"/>
  <c r="N23" i="107" s="1"/>
  <c r="F23" i="107"/>
  <c r="B23" i="107"/>
  <c r="Z22" i="107"/>
  <c r="X22" i="107"/>
  <c r="L22" i="107"/>
  <c r="N22" i="107" s="1"/>
  <c r="J22" i="107"/>
  <c r="F22" i="107"/>
  <c r="B22" i="107"/>
  <c r="T21" i="107"/>
  <c r="P21" i="107"/>
  <c r="H21" i="107"/>
  <c r="F21" i="107"/>
  <c r="D21" i="107"/>
  <c r="L21" i="107" s="1"/>
  <c r="N21" i="107" s="1"/>
  <c r="B21" i="107"/>
  <c r="T20" i="107"/>
  <c r="P20" i="107"/>
  <c r="X20" i="107" s="1"/>
  <c r="L20" i="107"/>
  <c r="J20" i="107"/>
  <c r="H20" i="107"/>
  <c r="D20" i="107"/>
  <c r="H18" i="107"/>
  <c r="F18" i="107"/>
  <c r="X16" i="107"/>
  <c r="Z16" i="107" s="1"/>
  <c r="V16" i="107"/>
  <c r="L16" i="107"/>
  <c r="N16" i="107" s="1"/>
  <c r="B16" i="107"/>
  <c r="T15" i="107"/>
  <c r="P15" i="107"/>
  <c r="X15" i="107" s="1"/>
  <c r="J15" i="107"/>
  <c r="H15" i="107"/>
  <c r="F15" i="107"/>
  <c r="D15" i="107"/>
  <c r="L15" i="107" s="1"/>
  <c r="N15" i="107" s="1"/>
  <c r="Z13" i="107"/>
  <c r="X13" i="107"/>
  <c r="P13" i="107"/>
  <c r="L13" i="107"/>
  <c r="N13" i="107" s="1"/>
  <c r="D13" i="107"/>
  <c r="D12" i="107" s="1"/>
  <c r="F76" i="107" s="1"/>
  <c r="B13" i="107"/>
  <c r="T12" i="107"/>
  <c r="V75" i="107" s="1"/>
  <c r="P12" i="107"/>
  <c r="N12" i="107"/>
  <c r="L12" i="107"/>
  <c r="H12" i="107"/>
  <c r="J75" i="107" s="1"/>
  <c r="D6" i="107"/>
  <c r="D4" i="107"/>
  <c r="X94" i="105"/>
  <c r="Z94" i="105" s="1"/>
  <c r="V94" i="105"/>
  <c r="L94" i="105"/>
  <c r="N94" i="105" s="1"/>
  <c r="J94" i="105"/>
  <c r="T90" i="105"/>
  <c r="Z90" i="105" s="1"/>
  <c r="P90" i="105"/>
  <c r="H90" i="105"/>
  <c r="N90" i="105" s="1"/>
  <c r="D90" i="105"/>
  <c r="L90" i="105" s="1"/>
  <c r="X88" i="105"/>
  <c r="Z88" i="105" s="1"/>
  <c r="L88" i="105"/>
  <c r="N88" i="105" s="1"/>
  <c r="J88" i="105"/>
  <c r="B88" i="105"/>
  <c r="X87" i="105"/>
  <c r="Z87" i="105" s="1"/>
  <c r="V87" i="105"/>
  <c r="T87" i="105"/>
  <c r="P87" i="105"/>
  <c r="L87" i="105"/>
  <c r="J87" i="105"/>
  <c r="H87" i="105"/>
  <c r="D87" i="105"/>
  <c r="B87" i="105"/>
  <c r="Z86" i="105"/>
  <c r="X86" i="105"/>
  <c r="N86" i="105"/>
  <c r="L86" i="105"/>
  <c r="B86" i="105"/>
  <c r="Z85" i="105"/>
  <c r="X85" i="105"/>
  <c r="N85" i="105"/>
  <c r="L85" i="105"/>
  <c r="J85" i="105"/>
  <c r="B85" i="105"/>
  <c r="T84" i="105"/>
  <c r="P84" i="105"/>
  <c r="J84" i="105"/>
  <c r="H84" i="105"/>
  <c r="D84" i="105"/>
  <c r="B84" i="105"/>
  <c r="X83" i="105"/>
  <c r="Z83" i="105" s="1"/>
  <c r="V83" i="105"/>
  <c r="L83" i="105"/>
  <c r="N83" i="105" s="1"/>
  <c r="J83" i="105"/>
  <c r="B83" i="105"/>
  <c r="Z82" i="105"/>
  <c r="X82" i="105"/>
  <c r="L82" i="105"/>
  <c r="N82" i="105" s="1"/>
  <c r="B82" i="105"/>
  <c r="X81" i="105"/>
  <c r="Z81" i="105" s="1"/>
  <c r="V81" i="105"/>
  <c r="L81" i="105"/>
  <c r="N81" i="105" s="1"/>
  <c r="J81" i="105"/>
  <c r="B81" i="105"/>
  <c r="Z80" i="105"/>
  <c r="X80" i="105"/>
  <c r="N80" i="105"/>
  <c r="L80" i="105"/>
  <c r="J80" i="105"/>
  <c r="B80" i="105"/>
  <c r="Z79" i="105"/>
  <c r="X79" i="105"/>
  <c r="N79" i="105"/>
  <c r="L79" i="105"/>
  <c r="J79" i="105"/>
  <c r="B79" i="105"/>
  <c r="Z78" i="105"/>
  <c r="X78" i="105"/>
  <c r="L78" i="105"/>
  <c r="N78" i="105" s="1"/>
  <c r="B78" i="105"/>
  <c r="X77" i="105"/>
  <c r="Z77" i="105" s="1"/>
  <c r="V77" i="105"/>
  <c r="L77" i="105"/>
  <c r="N77" i="105" s="1"/>
  <c r="J77" i="105"/>
  <c r="B77" i="105"/>
  <c r="Z76" i="105"/>
  <c r="X76" i="105"/>
  <c r="L76" i="105"/>
  <c r="N76" i="105" s="1"/>
  <c r="J76" i="105"/>
  <c r="B76" i="105"/>
  <c r="Z75" i="105"/>
  <c r="X75" i="105"/>
  <c r="V75" i="105"/>
  <c r="L75" i="105"/>
  <c r="N75" i="105" s="1"/>
  <c r="J75" i="105"/>
  <c r="B75" i="105"/>
  <c r="T74" i="105"/>
  <c r="P74" i="105"/>
  <c r="X74" i="105" s="1"/>
  <c r="Z74" i="105" s="1"/>
  <c r="H74" i="105"/>
  <c r="D74" i="105"/>
  <c r="B74" i="105"/>
  <c r="X73" i="105"/>
  <c r="Z73" i="105" s="1"/>
  <c r="N73" i="105"/>
  <c r="L73" i="105"/>
  <c r="B73" i="105"/>
  <c r="X72" i="105"/>
  <c r="Z72" i="105" s="1"/>
  <c r="V72" i="105"/>
  <c r="L72" i="105"/>
  <c r="N72" i="105" s="1"/>
  <c r="J72" i="105"/>
  <c r="B72" i="105"/>
  <c r="X71" i="105"/>
  <c r="Z71" i="105" s="1"/>
  <c r="V71" i="105"/>
  <c r="N71" i="105"/>
  <c r="L71" i="105"/>
  <c r="B71" i="105"/>
  <c r="Z70" i="105"/>
  <c r="X70" i="105"/>
  <c r="T70" i="105"/>
  <c r="P70" i="105"/>
  <c r="J70" i="105"/>
  <c r="H70" i="105"/>
  <c r="D70" i="105"/>
  <c r="L70" i="105" s="1"/>
  <c r="N70" i="105" s="1"/>
  <c r="B70" i="105"/>
  <c r="Z69" i="105"/>
  <c r="X69" i="105"/>
  <c r="L69" i="105"/>
  <c r="N69" i="105" s="1"/>
  <c r="J69" i="105"/>
  <c r="B69" i="105"/>
  <c r="X68" i="105"/>
  <c r="Z68" i="105" s="1"/>
  <c r="N68" i="105"/>
  <c r="L68" i="105"/>
  <c r="J68" i="105"/>
  <c r="B68" i="105"/>
  <c r="Z67" i="105"/>
  <c r="X67" i="105"/>
  <c r="N67" i="105"/>
  <c r="L67" i="105"/>
  <c r="J67" i="105"/>
  <c r="B67" i="105"/>
  <c r="T66" i="105"/>
  <c r="P66" i="105"/>
  <c r="L66" i="105"/>
  <c r="J66" i="105"/>
  <c r="H66" i="105"/>
  <c r="D66" i="105"/>
  <c r="B66" i="105"/>
  <c r="X65" i="105"/>
  <c r="Z65" i="105" s="1"/>
  <c r="V65" i="105"/>
  <c r="L65" i="105"/>
  <c r="N65" i="105" s="1"/>
  <c r="J65" i="105"/>
  <c r="B65" i="105"/>
  <c r="T64" i="105"/>
  <c r="P64" i="105"/>
  <c r="H64" i="105"/>
  <c r="J64" i="105" s="1"/>
  <c r="D64" i="105"/>
  <c r="L64" i="105" s="1"/>
  <c r="N64" i="105" s="1"/>
  <c r="B64" i="105"/>
  <c r="X63" i="105"/>
  <c r="Z63" i="105" s="1"/>
  <c r="L63" i="105"/>
  <c r="N63" i="105" s="1"/>
  <c r="B63" i="105"/>
  <c r="X62" i="105"/>
  <c r="Z62" i="105" s="1"/>
  <c r="T62" i="105"/>
  <c r="P62" i="105"/>
  <c r="N62" i="105"/>
  <c r="L62" i="105"/>
  <c r="J62" i="105"/>
  <c r="H62" i="105"/>
  <c r="D62" i="105"/>
  <c r="B62" i="105"/>
  <c r="Z61" i="105"/>
  <c r="X61" i="105"/>
  <c r="L61" i="105"/>
  <c r="N61" i="105" s="1"/>
  <c r="J61" i="105"/>
  <c r="B61" i="105"/>
  <c r="X60" i="105"/>
  <c r="V60" i="105"/>
  <c r="T60" i="105"/>
  <c r="P60" i="105"/>
  <c r="L60" i="105"/>
  <c r="J60" i="105"/>
  <c r="H60" i="105"/>
  <c r="D60" i="105"/>
  <c r="B60" i="105"/>
  <c r="X59" i="105"/>
  <c r="Z59" i="105" s="1"/>
  <c r="V59" i="105"/>
  <c r="L59" i="105"/>
  <c r="N59" i="105" s="1"/>
  <c r="J59" i="105"/>
  <c r="B59" i="105"/>
  <c r="T58" i="105"/>
  <c r="P58" i="105"/>
  <c r="H58" i="105"/>
  <c r="D58" i="105"/>
  <c r="L58" i="105" s="1"/>
  <c r="B58" i="105"/>
  <c r="X57" i="105"/>
  <c r="Z57" i="105" s="1"/>
  <c r="N57" i="105"/>
  <c r="L57" i="105"/>
  <c r="B57" i="105"/>
  <c r="T56" i="105"/>
  <c r="P56" i="105"/>
  <c r="X56" i="105" s="1"/>
  <c r="Z56" i="105" s="1"/>
  <c r="L56" i="105"/>
  <c r="N56" i="105" s="1"/>
  <c r="H56" i="105"/>
  <c r="D56" i="105"/>
  <c r="B56" i="105"/>
  <c r="Z55" i="105"/>
  <c r="X55" i="105"/>
  <c r="N55" i="105"/>
  <c r="L55" i="105"/>
  <c r="J55" i="105"/>
  <c r="B55" i="105"/>
  <c r="T54" i="105"/>
  <c r="P54" i="105"/>
  <c r="J54" i="105"/>
  <c r="H54" i="105"/>
  <c r="N54" i="105" s="1"/>
  <c r="D54" i="105"/>
  <c r="B54" i="105"/>
  <c r="X53" i="105"/>
  <c r="Z53" i="105" s="1"/>
  <c r="V53" i="105"/>
  <c r="L53" i="105"/>
  <c r="N53" i="105" s="1"/>
  <c r="J53" i="105"/>
  <c r="B53" i="105"/>
  <c r="T52" i="105"/>
  <c r="P52" i="105"/>
  <c r="N52" i="105"/>
  <c r="H52" i="105"/>
  <c r="J52" i="105" s="1"/>
  <c r="D52" i="105"/>
  <c r="L52" i="105" s="1"/>
  <c r="B52" i="105"/>
  <c r="X51" i="105"/>
  <c r="Z51" i="105" s="1"/>
  <c r="L51" i="105"/>
  <c r="N51" i="105" s="1"/>
  <c r="B51" i="105"/>
  <c r="X50" i="105"/>
  <c r="Z50" i="105" s="1"/>
  <c r="T50" i="105"/>
  <c r="P50" i="105"/>
  <c r="L50" i="105"/>
  <c r="N50" i="105" s="1"/>
  <c r="J50" i="105"/>
  <c r="H50" i="105"/>
  <c r="D50" i="105"/>
  <c r="B50" i="105"/>
  <c r="Z49" i="105"/>
  <c r="X49" i="105"/>
  <c r="L49" i="105"/>
  <c r="N49" i="105" s="1"/>
  <c r="J49" i="105"/>
  <c r="B49" i="105"/>
  <c r="X48" i="105"/>
  <c r="V48" i="105"/>
  <c r="T48" i="105"/>
  <c r="P48" i="105"/>
  <c r="H48" i="105"/>
  <c r="D48" i="105"/>
  <c r="B48" i="105"/>
  <c r="Z47" i="105"/>
  <c r="X47" i="105"/>
  <c r="V47" i="105"/>
  <c r="N47" i="105"/>
  <c r="L47" i="105"/>
  <c r="J47" i="105"/>
  <c r="B47" i="105"/>
  <c r="Z46" i="105"/>
  <c r="X46" i="105"/>
  <c r="N46" i="105"/>
  <c r="L46" i="105"/>
  <c r="B46" i="105"/>
  <c r="Z45" i="105"/>
  <c r="X45" i="105"/>
  <c r="N45" i="105"/>
  <c r="L45" i="105"/>
  <c r="J45" i="105"/>
  <c r="B45" i="105"/>
  <c r="X44" i="105"/>
  <c r="Z44" i="105" s="1"/>
  <c r="L44" i="105"/>
  <c r="N44" i="105" s="1"/>
  <c r="J44" i="105"/>
  <c r="B44" i="105"/>
  <c r="Z43" i="105"/>
  <c r="X43" i="105"/>
  <c r="V43" i="105"/>
  <c r="N43" i="105"/>
  <c r="L43" i="105"/>
  <c r="J43" i="105"/>
  <c r="B43" i="105"/>
  <c r="Z42" i="105"/>
  <c r="X42" i="105"/>
  <c r="L42" i="105"/>
  <c r="N42" i="105" s="1"/>
  <c r="B42" i="105"/>
  <c r="Z41" i="105"/>
  <c r="X41" i="105"/>
  <c r="L41" i="105"/>
  <c r="N41" i="105" s="1"/>
  <c r="J41" i="105"/>
  <c r="B41" i="105"/>
  <c r="Z40" i="105"/>
  <c r="X40" i="105"/>
  <c r="N40" i="105"/>
  <c r="L40" i="105"/>
  <c r="J40" i="105"/>
  <c r="B40" i="105"/>
  <c r="Z39" i="105"/>
  <c r="X39" i="105"/>
  <c r="L39" i="105"/>
  <c r="N39" i="105" s="1"/>
  <c r="J39" i="105"/>
  <c r="B39" i="105"/>
  <c r="Z38" i="105"/>
  <c r="X38" i="105"/>
  <c r="N38" i="105"/>
  <c r="L38" i="105"/>
  <c r="B38" i="105"/>
  <c r="T37" i="105"/>
  <c r="V37" i="105" s="1"/>
  <c r="P37" i="105"/>
  <c r="L37" i="105"/>
  <c r="N37" i="105" s="1"/>
  <c r="J37" i="105"/>
  <c r="H37" i="105"/>
  <c r="D37" i="105"/>
  <c r="B37" i="105"/>
  <c r="Z36" i="105"/>
  <c r="X36" i="105"/>
  <c r="L36" i="105"/>
  <c r="N36" i="105" s="1"/>
  <c r="J36" i="105"/>
  <c r="B36" i="105"/>
  <c r="X35" i="105"/>
  <c r="Z35" i="105" s="1"/>
  <c r="V35" i="105"/>
  <c r="N35" i="105"/>
  <c r="L35" i="105"/>
  <c r="B35" i="105"/>
  <c r="X34" i="105"/>
  <c r="Z34" i="105" s="1"/>
  <c r="L34" i="105"/>
  <c r="N34" i="105" s="1"/>
  <c r="J34" i="105"/>
  <c r="B34" i="105"/>
  <c r="Z33" i="105"/>
  <c r="X33" i="105"/>
  <c r="V33" i="105"/>
  <c r="N33" i="105"/>
  <c r="L33" i="105"/>
  <c r="B33" i="105"/>
  <c r="Z32" i="105"/>
  <c r="X32" i="105"/>
  <c r="V32" i="105"/>
  <c r="N32" i="105"/>
  <c r="L32" i="105"/>
  <c r="J32" i="105"/>
  <c r="B32" i="105"/>
  <c r="X31" i="105"/>
  <c r="Z31" i="105" s="1"/>
  <c r="L31" i="105"/>
  <c r="N31" i="105" s="1"/>
  <c r="B31" i="105"/>
  <c r="X30" i="105"/>
  <c r="Z30" i="105" s="1"/>
  <c r="L30" i="105"/>
  <c r="N30" i="105" s="1"/>
  <c r="J30" i="105"/>
  <c r="B30" i="105"/>
  <c r="X29" i="105"/>
  <c r="Z29" i="105" s="1"/>
  <c r="N29" i="105"/>
  <c r="L29" i="105"/>
  <c r="B29" i="105"/>
  <c r="X28" i="105"/>
  <c r="Z28" i="105" s="1"/>
  <c r="L28" i="105"/>
  <c r="N28" i="105" s="1"/>
  <c r="J28" i="105"/>
  <c r="B28" i="105"/>
  <c r="X27" i="105"/>
  <c r="Z27" i="105" s="1"/>
  <c r="V27" i="105"/>
  <c r="L27" i="105"/>
  <c r="N27" i="105" s="1"/>
  <c r="B27" i="105"/>
  <c r="T26" i="105"/>
  <c r="P26" i="105"/>
  <c r="X26" i="105" s="1"/>
  <c r="Z26" i="105" s="1"/>
  <c r="L26" i="105"/>
  <c r="N26" i="105" s="1"/>
  <c r="J26" i="105"/>
  <c r="H26" i="105"/>
  <c r="D26" i="105"/>
  <c r="B26" i="105"/>
  <c r="T25" i="105"/>
  <c r="Z25" i="105" s="1"/>
  <c r="P25" i="105"/>
  <c r="X25" i="105" s="1"/>
  <c r="H25" i="105"/>
  <c r="N25" i="105" s="1"/>
  <c r="D25" i="105"/>
  <c r="L25" i="105" s="1"/>
  <c r="T23" i="105"/>
  <c r="T92" i="105" s="1"/>
  <c r="Z21" i="105"/>
  <c r="X21" i="105"/>
  <c r="N21" i="105"/>
  <c r="L21" i="105"/>
  <c r="J21" i="105"/>
  <c r="B21" i="105"/>
  <c r="Z20" i="105"/>
  <c r="X20" i="105"/>
  <c r="V20" i="105"/>
  <c r="N20" i="105"/>
  <c r="L20" i="105"/>
  <c r="J20" i="105"/>
  <c r="B20" i="105"/>
  <c r="Z19" i="105"/>
  <c r="X19" i="105"/>
  <c r="L19" i="105"/>
  <c r="N19" i="105" s="1"/>
  <c r="J19" i="105"/>
  <c r="B19" i="105"/>
  <c r="Z18" i="105"/>
  <c r="T18" i="105"/>
  <c r="X18" i="105" s="1"/>
  <c r="P18" i="105"/>
  <c r="J18" i="105"/>
  <c r="H18" i="105"/>
  <c r="D18" i="105"/>
  <c r="Z16" i="105"/>
  <c r="X16" i="105"/>
  <c r="P16" i="105"/>
  <c r="N16" i="105"/>
  <c r="L16" i="105"/>
  <c r="D16" i="105"/>
  <c r="B16" i="105"/>
  <c r="Z15" i="105"/>
  <c r="P15" i="105"/>
  <c r="X15" i="105" s="1"/>
  <c r="N15" i="105"/>
  <c r="D15" i="105"/>
  <c r="L15" i="105" s="1"/>
  <c r="B15" i="105"/>
  <c r="P14" i="105"/>
  <c r="X14" i="105" s="1"/>
  <c r="Z14" i="105" s="1"/>
  <c r="D14" i="105"/>
  <c r="L14" i="105" s="1"/>
  <c r="N14" i="105" s="1"/>
  <c r="B14" i="105"/>
  <c r="Z13" i="105"/>
  <c r="X13" i="105"/>
  <c r="P13" i="105"/>
  <c r="N13" i="105"/>
  <c r="L13" i="105"/>
  <c r="D13" i="105"/>
  <c r="B13" i="105"/>
  <c r="T12" i="105"/>
  <c r="H12" i="105"/>
  <c r="J73" i="105" s="1"/>
  <c r="D6" i="105"/>
  <c r="D4" i="105"/>
  <c r="V31" i="104"/>
  <c r="R31" i="104"/>
  <c r="F31" i="104"/>
  <c r="V28" i="104"/>
  <c r="R28" i="104"/>
  <c r="Z26" i="104"/>
  <c r="X26" i="104"/>
  <c r="V26" i="104"/>
  <c r="N26" i="104"/>
  <c r="L26" i="104"/>
  <c r="J26" i="104"/>
  <c r="F26" i="104"/>
  <c r="V24" i="104"/>
  <c r="R24" i="104"/>
  <c r="J24" i="104"/>
  <c r="F24" i="104"/>
  <c r="V22" i="104"/>
  <c r="T22" i="104"/>
  <c r="Z22" i="104" s="1"/>
  <c r="R22" i="104"/>
  <c r="P22" i="104"/>
  <c r="X22" i="104" s="1"/>
  <c r="N22" i="104"/>
  <c r="J22" i="104"/>
  <c r="H22" i="104"/>
  <c r="F22" i="104"/>
  <c r="D22" i="104"/>
  <c r="L22" i="104" s="1"/>
  <c r="Z20" i="104"/>
  <c r="X20" i="104"/>
  <c r="V20" i="104"/>
  <c r="R20" i="104"/>
  <c r="N20" i="104"/>
  <c r="L20" i="104"/>
  <c r="J20" i="104"/>
  <c r="B20" i="104"/>
  <c r="Z19" i="104"/>
  <c r="V19" i="104"/>
  <c r="T19" i="104"/>
  <c r="P19" i="104"/>
  <c r="X19" i="104" s="1"/>
  <c r="H19" i="104"/>
  <c r="N19" i="104" s="1"/>
  <c r="D19" i="104"/>
  <c r="L19" i="104" s="1"/>
  <c r="B19" i="104"/>
  <c r="Z18" i="104"/>
  <c r="X18" i="104"/>
  <c r="T18" i="104"/>
  <c r="R18" i="104"/>
  <c r="P18" i="104"/>
  <c r="N18" i="104"/>
  <c r="H18" i="104"/>
  <c r="F18" i="104"/>
  <c r="D18" i="104"/>
  <c r="L18" i="104" s="1"/>
  <c r="R16" i="104"/>
  <c r="J16" i="104"/>
  <c r="F16" i="104"/>
  <c r="Z14" i="104"/>
  <c r="X14" i="104"/>
  <c r="T14" i="104"/>
  <c r="R14" i="104"/>
  <c r="P14" i="104"/>
  <c r="P16" i="104" s="1"/>
  <c r="N14" i="104"/>
  <c r="H14" i="104"/>
  <c r="F14" i="104"/>
  <c r="D14" i="104"/>
  <c r="Z12" i="104"/>
  <c r="X12" i="104"/>
  <c r="T12" i="104"/>
  <c r="V18" i="104" s="1"/>
  <c r="P12" i="104"/>
  <c r="R19" i="104" s="1"/>
  <c r="N12" i="104"/>
  <c r="H12" i="104"/>
  <c r="D12" i="104"/>
  <c r="D6" i="104"/>
  <c r="D4" i="104"/>
  <c r="Z90" i="103"/>
  <c r="X90" i="103"/>
  <c r="N90" i="103"/>
  <c r="L90" i="103"/>
  <c r="J90" i="103"/>
  <c r="Z86" i="103"/>
  <c r="X86" i="103"/>
  <c r="T86" i="103"/>
  <c r="P86" i="103"/>
  <c r="N86" i="103"/>
  <c r="L86" i="103"/>
  <c r="H86" i="103"/>
  <c r="D86" i="103"/>
  <c r="X84" i="103"/>
  <c r="Z84" i="103" s="1"/>
  <c r="N84" i="103"/>
  <c r="L84" i="103"/>
  <c r="J84" i="103"/>
  <c r="B84" i="103"/>
  <c r="X83" i="103"/>
  <c r="T83" i="103"/>
  <c r="P83" i="103"/>
  <c r="H83" i="103"/>
  <c r="D83" i="103"/>
  <c r="B83" i="103"/>
  <c r="X82" i="103"/>
  <c r="Z82" i="103" s="1"/>
  <c r="N82" i="103"/>
  <c r="L82" i="103"/>
  <c r="J82" i="103"/>
  <c r="B82" i="103"/>
  <c r="Z81" i="103"/>
  <c r="X81" i="103"/>
  <c r="N81" i="103"/>
  <c r="L81" i="103"/>
  <c r="B81" i="103"/>
  <c r="X80" i="103"/>
  <c r="Z80" i="103" s="1"/>
  <c r="N80" i="103"/>
  <c r="L80" i="103"/>
  <c r="J80" i="103"/>
  <c r="B80" i="103"/>
  <c r="X79" i="103"/>
  <c r="Z79" i="103" s="1"/>
  <c r="L79" i="103"/>
  <c r="N79" i="103" s="1"/>
  <c r="J79" i="103"/>
  <c r="B79" i="103"/>
  <c r="X78" i="103"/>
  <c r="Z78" i="103" s="1"/>
  <c r="N78" i="103"/>
  <c r="L78" i="103"/>
  <c r="J78" i="103"/>
  <c r="B78" i="103"/>
  <c r="Z77" i="103"/>
  <c r="X77" i="103"/>
  <c r="L77" i="103"/>
  <c r="N77" i="103" s="1"/>
  <c r="J77" i="103"/>
  <c r="B77" i="103"/>
  <c r="X76" i="103"/>
  <c r="Z76" i="103" s="1"/>
  <c r="L76" i="103"/>
  <c r="N76" i="103" s="1"/>
  <c r="J76" i="103"/>
  <c r="B76" i="103"/>
  <c r="Z75" i="103"/>
  <c r="X75" i="103"/>
  <c r="N75" i="103"/>
  <c r="L75" i="103"/>
  <c r="J75" i="103"/>
  <c r="B75" i="103"/>
  <c r="T74" i="103"/>
  <c r="P74" i="103"/>
  <c r="N74" i="103"/>
  <c r="L74" i="103"/>
  <c r="J74" i="103"/>
  <c r="H74" i="103"/>
  <c r="D74" i="103"/>
  <c r="B74" i="103"/>
  <c r="Z73" i="103"/>
  <c r="X73" i="103"/>
  <c r="L73" i="103"/>
  <c r="N73" i="103" s="1"/>
  <c r="J73" i="103"/>
  <c r="F73" i="103"/>
  <c r="B73" i="103"/>
  <c r="X72" i="103"/>
  <c r="Z72" i="103" s="1"/>
  <c r="L72" i="103"/>
  <c r="N72" i="103" s="1"/>
  <c r="J72" i="103"/>
  <c r="B72" i="103"/>
  <c r="Z71" i="103"/>
  <c r="X71" i="103"/>
  <c r="L71" i="103"/>
  <c r="N71" i="103" s="1"/>
  <c r="J71" i="103"/>
  <c r="F71" i="103"/>
  <c r="B71" i="103"/>
  <c r="Z70" i="103"/>
  <c r="X70" i="103"/>
  <c r="N70" i="103"/>
  <c r="L70" i="103"/>
  <c r="B70" i="103"/>
  <c r="X69" i="103"/>
  <c r="Z69" i="103" s="1"/>
  <c r="T69" i="103"/>
  <c r="P69" i="103"/>
  <c r="L69" i="103"/>
  <c r="N69" i="103" s="1"/>
  <c r="J69" i="103"/>
  <c r="H69" i="103"/>
  <c r="D69" i="103"/>
  <c r="B69" i="103"/>
  <c r="X68" i="103"/>
  <c r="Z68" i="103" s="1"/>
  <c r="L68" i="103"/>
  <c r="N68" i="103" s="1"/>
  <c r="J68" i="103"/>
  <c r="B68" i="103"/>
  <c r="X67" i="103"/>
  <c r="Z67" i="103" s="1"/>
  <c r="N67" i="103"/>
  <c r="L67" i="103"/>
  <c r="J67" i="103"/>
  <c r="B67" i="103"/>
  <c r="X66" i="103"/>
  <c r="Z66" i="103" s="1"/>
  <c r="T66" i="103"/>
  <c r="P66" i="103"/>
  <c r="H66" i="103"/>
  <c r="D66" i="103"/>
  <c r="L66" i="103" s="1"/>
  <c r="N66" i="103" s="1"/>
  <c r="B66" i="103"/>
  <c r="Z65" i="103"/>
  <c r="X65" i="103"/>
  <c r="L65" i="103"/>
  <c r="N65" i="103" s="1"/>
  <c r="J65" i="103"/>
  <c r="B65" i="103"/>
  <c r="X64" i="103"/>
  <c r="T64" i="103"/>
  <c r="P64" i="103"/>
  <c r="N64" i="103"/>
  <c r="L64" i="103"/>
  <c r="J64" i="103"/>
  <c r="H64" i="103"/>
  <c r="D64" i="103"/>
  <c r="B64" i="103"/>
  <c r="Z63" i="103"/>
  <c r="X63" i="103"/>
  <c r="L63" i="103"/>
  <c r="N63" i="103" s="1"/>
  <c r="J63" i="103"/>
  <c r="B63" i="103"/>
  <c r="X62" i="103"/>
  <c r="T62" i="103"/>
  <c r="P62" i="103"/>
  <c r="N62" i="103"/>
  <c r="J62" i="103"/>
  <c r="H62" i="103"/>
  <c r="D62" i="103"/>
  <c r="L62" i="103" s="1"/>
  <c r="B62" i="103"/>
  <c r="Z61" i="103"/>
  <c r="X61" i="103"/>
  <c r="L61" i="103"/>
  <c r="N61" i="103" s="1"/>
  <c r="B61" i="103"/>
  <c r="T60" i="103"/>
  <c r="Z60" i="103" s="1"/>
  <c r="P60" i="103"/>
  <c r="X60" i="103" s="1"/>
  <c r="N60" i="103"/>
  <c r="L60" i="103"/>
  <c r="J60" i="103"/>
  <c r="H60" i="103"/>
  <c r="D60" i="103"/>
  <c r="B60" i="103"/>
  <c r="Z59" i="103"/>
  <c r="X59" i="103"/>
  <c r="L59" i="103"/>
  <c r="N59" i="103" s="1"/>
  <c r="J59" i="103"/>
  <c r="B59" i="103"/>
  <c r="T58" i="103"/>
  <c r="P58" i="103"/>
  <c r="X58" i="103" s="1"/>
  <c r="H58" i="103"/>
  <c r="D58" i="103"/>
  <c r="B58" i="103"/>
  <c r="Z57" i="103"/>
  <c r="X57" i="103"/>
  <c r="N57" i="103"/>
  <c r="L57" i="103"/>
  <c r="J57" i="103"/>
  <c r="B57" i="103"/>
  <c r="T56" i="103"/>
  <c r="Z56" i="103" s="1"/>
  <c r="P56" i="103"/>
  <c r="X56" i="103" s="1"/>
  <c r="H56" i="103"/>
  <c r="D56" i="103"/>
  <c r="L56" i="103" s="1"/>
  <c r="B56" i="103"/>
  <c r="Z55" i="103"/>
  <c r="X55" i="103"/>
  <c r="N55" i="103"/>
  <c r="L55" i="103"/>
  <c r="J55" i="103"/>
  <c r="B55" i="103"/>
  <c r="Z54" i="103"/>
  <c r="X54" i="103"/>
  <c r="T54" i="103"/>
  <c r="P54" i="103"/>
  <c r="H54" i="103"/>
  <c r="N54" i="103" s="1"/>
  <c r="D54" i="103"/>
  <c r="L54" i="103" s="1"/>
  <c r="B54" i="103"/>
  <c r="X53" i="103"/>
  <c r="Z53" i="103" s="1"/>
  <c r="N53" i="103"/>
  <c r="L53" i="103"/>
  <c r="J53" i="103"/>
  <c r="B53" i="103"/>
  <c r="T52" i="103"/>
  <c r="P52" i="103"/>
  <c r="H52" i="103"/>
  <c r="J52" i="103" s="1"/>
  <c r="D52" i="103"/>
  <c r="L52" i="103" s="1"/>
  <c r="B52" i="103"/>
  <c r="X51" i="103"/>
  <c r="Z51" i="103" s="1"/>
  <c r="L51" i="103"/>
  <c r="N51" i="103" s="1"/>
  <c r="J51" i="103"/>
  <c r="B51" i="103"/>
  <c r="T50" i="103"/>
  <c r="P50" i="103"/>
  <c r="H50" i="103"/>
  <c r="N50" i="103" s="1"/>
  <c r="D50" i="103"/>
  <c r="L50" i="103" s="1"/>
  <c r="B50" i="103"/>
  <c r="Z49" i="103"/>
  <c r="X49" i="103"/>
  <c r="N49" i="103"/>
  <c r="L49" i="103"/>
  <c r="B49" i="103"/>
  <c r="T48" i="103"/>
  <c r="P48" i="103"/>
  <c r="X48" i="103" s="1"/>
  <c r="L48" i="103"/>
  <c r="N48" i="103" s="1"/>
  <c r="J48" i="103"/>
  <c r="H48" i="103"/>
  <c r="D48" i="103"/>
  <c r="B48" i="103"/>
  <c r="Z47" i="103"/>
  <c r="X47" i="103"/>
  <c r="N47" i="103"/>
  <c r="L47" i="103"/>
  <c r="J47" i="103"/>
  <c r="B47" i="103"/>
  <c r="Z46" i="103"/>
  <c r="X46" i="103"/>
  <c r="N46" i="103"/>
  <c r="L46" i="103"/>
  <c r="B46" i="103"/>
  <c r="Z45" i="103"/>
  <c r="X45" i="103"/>
  <c r="N45" i="103"/>
  <c r="L45" i="103"/>
  <c r="J45" i="103"/>
  <c r="B45" i="103"/>
  <c r="Z44" i="103"/>
  <c r="X44" i="103"/>
  <c r="N44" i="103"/>
  <c r="L44" i="103"/>
  <c r="J44" i="103"/>
  <c r="B44" i="103"/>
  <c r="Z43" i="103"/>
  <c r="X43" i="103"/>
  <c r="N43" i="103"/>
  <c r="L43" i="103"/>
  <c r="J43" i="103"/>
  <c r="B43" i="103"/>
  <c r="Z42" i="103"/>
  <c r="X42" i="103"/>
  <c r="N42" i="103"/>
  <c r="L42" i="103"/>
  <c r="B42" i="103"/>
  <c r="X41" i="103"/>
  <c r="Z41" i="103" s="1"/>
  <c r="L41" i="103"/>
  <c r="N41" i="103" s="1"/>
  <c r="J41" i="103"/>
  <c r="B41" i="103"/>
  <c r="Z40" i="103"/>
  <c r="X40" i="103"/>
  <c r="N40" i="103"/>
  <c r="L40" i="103"/>
  <c r="J40" i="103"/>
  <c r="B40" i="103"/>
  <c r="Z39" i="103"/>
  <c r="X39" i="103"/>
  <c r="L39" i="103"/>
  <c r="N39" i="103" s="1"/>
  <c r="J39" i="103"/>
  <c r="B39" i="103"/>
  <c r="Z38" i="103"/>
  <c r="X38" i="103"/>
  <c r="N38" i="103"/>
  <c r="L38" i="103"/>
  <c r="B38" i="103"/>
  <c r="Z37" i="103"/>
  <c r="X37" i="103"/>
  <c r="T37" i="103"/>
  <c r="P37" i="103"/>
  <c r="N37" i="103"/>
  <c r="J37" i="103"/>
  <c r="H37" i="103"/>
  <c r="F37" i="103"/>
  <c r="D37" i="103"/>
  <c r="L37" i="103" s="1"/>
  <c r="B37" i="103"/>
  <c r="Z36" i="103"/>
  <c r="X36" i="103"/>
  <c r="L36" i="103"/>
  <c r="N36" i="103" s="1"/>
  <c r="B36" i="103"/>
  <c r="X35" i="103"/>
  <c r="Z35" i="103" s="1"/>
  <c r="L35" i="103"/>
  <c r="N35" i="103" s="1"/>
  <c r="J35" i="103"/>
  <c r="B35" i="103"/>
  <c r="X34" i="103"/>
  <c r="Z34" i="103" s="1"/>
  <c r="L34" i="103"/>
  <c r="N34" i="103" s="1"/>
  <c r="J34" i="103"/>
  <c r="B34" i="103"/>
  <c r="Z33" i="103"/>
  <c r="X33" i="103"/>
  <c r="N33" i="103"/>
  <c r="L33" i="103"/>
  <c r="J33" i="103"/>
  <c r="B33" i="103"/>
  <c r="Z32" i="103"/>
  <c r="X32" i="103"/>
  <c r="N32" i="103"/>
  <c r="L32" i="103"/>
  <c r="B32" i="103"/>
  <c r="Z31" i="103"/>
  <c r="X31" i="103"/>
  <c r="L31" i="103"/>
  <c r="N31" i="103" s="1"/>
  <c r="J31" i="103"/>
  <c r="B31" i="103"/>
  <c r="X30" i="103"/>
  <c r="Z30" i="103" s="1"/>
  <c r="L30" i="103"/>
  <c r="N30" i="103" s="1"/>
  <c r="J30" i="103"/>
  <c r="B30" i="103"/>
  <c r="X29" i="103"/>
  <c r="Z29" i="103" s="1"/>
  <c r="N29" i="103"/>
  <c r="L29" i="103"/>
  <c r="J29" i="103"/>
  <c r="B29" i="103"/>
  <c r="Z28" i="103"/>
  <c r="X28" i="103"/>
  <c r="L28" i="103"/>
  <c r="N28" i="103" s="1"/>
  <c r="B28" i="103"/>
  <c r="X27" i="103"/>
  <c r="Z27" i="103" s="1"/>
  <c r="L27" i="103"/>
  <c r="N27" i="103" s="1"/>
  <c r="J27" i="103"/>
  <c r="B27" i="103"/>
  <c r="T26" i="103"/>
  <c r="P26" i="103"/>
  <c r="X26" i="103" s="1"/>
  <c r="N26" i="103"/>
  <c r="J26" i="103"/>
  <c r="H26" i="103"/>
  <c r="D26" i="103"/>
  <c r="L26" i="103" s="1"/>
  <c r="B26" i="103"/>
  <c r="T25" i="103"/>
  <c r="P25" i="103"/>
  <c r="X25" i="103" s="1"/>
  <c r="Z25" i="103" s="1"/>
  <c r="H25" i="103"/>
  <c r="D25" i="103"/>
  <c r="J23" i="103"/>
  <c r="H23" i="103"/>
  <c r="Z21" i="103"/>
  <c r="X21" i="103"/>
  <c r="N21" i="103"/>
  <c r="L21" i="103"/>
  <c r="B21" i="103"/>
  <c r="Z20" i="103"/>
  <c r="X20" i="103"/>
  <c r="N20" i="103"/>
  <c r="L20" i="103"/>
  <c r="J20" i="103"/>
  <c r="B20" i="103"/>
  <c r="X19" i="103"/>
  <c r="Z19" i="103" s="1"/>
  <c r="N19" i="103"/>
  <c r="L19" i="103"/>
  <c r="J19" i="103"/>
  <c r="B19" i="103"/>
  <c r="X18" i="103"/>
  <c r="Z18" i="103" s="1"/>
  <c r="T18" i="103"/>
  <c r="P18" i="103"/>
  <c r="H18" i="103"/>
  <c r="J18" i="103" s="1"/>
  <c r="D18" i="103"/>
  <c r="L18" i="103" s="1"/>
  <c r="N18" i="103" s="1"/>
  <c r="Z16" i="103"/>
  <c r="P16" i="103"/>
  <c r="X16" i="103" s="1"/>
  <c r="N16" i="103"/>
  <c r="D16" i="103"/>
  <c r="L16" i="103" s="1"/>
  <c r="B16" i="103"/>
  <c r="Z15" i="103"/>
  <c r="P15" i="103"/>
  <c r="X15" i="103" s="1"/>
  <c r="N15" i="103"/>
  <c r="D15" i="103"/>
  <c r="L15" i="103" s="1"/>
  <c r="B15" i="103"/>
  <c r="P14" i="103"/>
  <c r="X14" i="103" s="1"/>
  <c r="Z14" i="103" s="1"/>
  <c r="N14" i="103"/>
  <c r="D14" i="103"/>
  <c r="L14" i="103" s="1"/>
  <c r="B14" i="103"/>
  <c r="Z13" i="103"/>
  <c r="P13" i="103"/>
  <c r="X13" i="103" s="1"/>
  <c r="N13" i="103"/>
  <c r="D13" i="103"/>
  <c r="L13" i="103" s="1"/>
  <c r="B13" i="103"/>
  <c r="T12" i="103"/>
  <c r="H12" i="103"/>
  <c r="J61" i="103" s="1"/>
  <c r="D12" i="103"/>
  <c r="F90" i="103" s="1"/>
  <c r="D6" i="103"/>
  <c r="D4" i="103"/>
  <c r="Z56" i="102"/>
  <c r="X56" i="102"/>
  <c r="N56" i="102"/>
  <c r="L56" i="102"/>
  <c r="V54" i="102"/>
  <c r="X52" i="102"/>
  <c r="T52" i="102"/>
  <c r="Z52" i="102" s="1"/>
  <c r="P52" i="102"/>
  <c r="N52" i="102"/>
  <c r="L52" i="102"/>
  <c r="J52" i="102"/>
  <c r="H52" i="102"/>
  <c r="D52" i="102"/>
  <c r="X50" i="102"/>
  <c r="Z50" i="102" s="1"/>
  <c r="V50" i="102"/>
  <c r="N50" i="102"/>
  <c r="L50" i="102"/>
  <c r="J50" i="102"/>
  <c r="B50" i="102"/>
  <c r="V49" i="102"/>
  <c r="T49" i="102"/>
  <c r="P49" i="102"/>
  <c r="X49" i="102" s="1"/>
  <c r="Z49" i="102" s="1"/>
  <c r="N49" i="102"/>
  <c r="L49" i="102"/>
  <c r="H49" i="102"/>
  <c r="D49" i="102"/>
  <c r="B49" i="102"/>
  <c r="X48" i="102"/>
  <c r="Z48" i="102" s="1"/>
  <c r="N48" i="102"/>
  <c r="L48" i="102"/>
  <c r="B48" i="102"/>
  <c r="X47" i="102"/>
  <c r="Z47" i="102" s="1"/>
  <c r="T47" i="102"/>
  <c r="P47" i="102"/>
  <c r="N47" i="102"/>
  <c r="L47" i="102"/>
  <c r="J47" i="102"/>
  <c r="H47" i="102"/>
  <c r="D47" i="102"/>
  <c r="B47" i="102"/>
  <c r="Z46" i="102"/>
  <c r="X46" i="102"/>
  <c r="L46" i="102"/>
  <c r="N46" i="102" s="1"/>
  <c r="J46" i="102"/>
  <c r="B46" i="102"/>
  <c r="X45" i="102"/>
  <c r="Z45" i="102" s="1"/>
  <c r="V45" i="102"/>
  <c r="N45" i="102"/>
  <c r="L45" i="102"/>
  <c r="J45" i="102"/>
  <c r="B45" i="102"/>
  <c r="T44" i="102"/>
  <c r="P44" i="102"/>
  <c r="X44" i="102" s="1"/>
  <c r="Z44" i="102" s="1"/>
  <c r="H44" i="102"/>
  <c r="D44" i="102"/>
  <c r="B44" i="102"/>
  <c r="Z43" i="102"/>
  <c r="X43" i="102"/>
  <c r="L43" i="102"/>
  <c r="N43" i="102" s="1"/>
  <c r="J43" i="102"/>
  <c r="B43" i="102"/>
  <c r="X42" i="102"/>
  <c r="Z42" i="102" s="1"/>
  <c r="V42" i="102"/>
  <c r="N42" i="102"/>
  <c r="L42" i="102"/>
  <c r="B42" i="102"/>
  <c r="Z41" i="102"/>
  <c r="X41" i="102"/>
  <c r="V41" i="102"/>
  <c r="L41" i="102"/>
  <c r="N41" i="102" s="1"/>
  <c r="J41" i="102"/>
  <c r="B41" i="102"/>
  <c r="T40" i="102"/>
  <c r="P40" i="102"/>
  <c r="L40" i="102"/>
  <c r="H40" i="102"/>
  <c r="D40" i="102"/>
  <c r="B40" i="102"/>
  <c r="Z39" i="102"/>
  <c r="X39" i="102"/>
  <c r="N39" i="102"/>
  <c r="L39" i="102"/>
  <c r="J39" i="102"/>
  <c r="B39" i="102"/>
  <c r="Z38" i="102"/>
  <c r="X38" i="102"/>
  <c r="V38" i="102"/>
  <c r="N38" i="102"/>
  <c r="L38" i="102"/>
  <c r="J38" i="102"/>
  <c r="B38" i="102"/>
  <c r="Z37" i="102"/>
  <c r="X37" i="102"/>
  <c r="N37" i="102"/>
  <c r="L37" i="102"/>
  <c r="B37" i="102"/>
  <c r="Z36" i="102"/>
  <c r="X36" i="102"/>
  <c r="N36" i="102"/>
  <c r="L36" i="102"/>
  <c r="B36" i="102"/>
  <c r="Z35" i="102"/>
  <c r="X35" i="102"/>
  <c r="N35" i="102"/>
  <c r="L35" i="102"/>
  <c r="J35" i="102"/>
  <c r="B35" i="102"/>
  <c r="Z34" i="102"/>
  <c r="X34" i="102"/>
  <c r="N34" i="102"/>
  <c r="L34" i="102"/>
  <c r="B34" i="102"/>
  <c r="Z33" i="102"/>
  <c r="X33" i="102"/>
  <c r="V33" i="102"/>
  <c r="N33" i="102"/>
  <c r="L33" i="102"/>
  <c r="J33" i="102"/>
  <c r="B33" i="102"/>
  <c r="Z32" i="102"/>
  <c r="X32" i="102"/>
  <c r="N32" i="102"/>
  <c r="L32" i="102"/>
  <c r="J32" i="102"/>
  <c r="B32" i="102"/>
  <c r="X31" i="102"/>
  <c r="Z31" i="102" s="1"/>
  <c r="V31" i="102"/>
  <c r="N31" i="102"/>
  <c r="L31" i="102"/>
  <c r="J31" i="102"/>
  <c r="B31" i="102"/>
  <c r="Z30" i="102"/>
  <c r="X30" i="102"/>
  <c r="N30" i="102"/>
  <c r="L30" i="102"/>
  <c r="J30" i="102"/>
  <c r="B30" i="102"/>
  <c r="V29" i="102"/>
  <c r="T29" i="102"/>
  <c r="P29" i="102"/>
  <c r="X29" i="102" s="1"/>
  <c r="J29" i="102"/>
  <c r="H29" i="102"/>
  <c r="D29" i="102"/>
  <c r="B29" i="102"/>
  <c r="Z28" i="102"/>
  <c r="X28" i="102"/>
  <c r="V28" i="102"/>
  <c r="N28" i="102"/>
  <c r="L28" i="102"/>
  <c r="B28" i="102"/>
  <c r="Z27" i="102"/>
  <c r="X27" i="102"/>
  <c r="L27" i="102"/>
  <c r="N27" i="102" s="1"/>
  <c r="B27" i="102"/>
  <c r="Z26" i="102"/>
  <c r="X26" i="102"/>
  <c r="L26" i="102"/>
  <c r="N26" i="102" s="1"/>
  <c r="J26" i="102"/>
  <c r="B26" i="102"/>
  <c r="Z25" i="102"/>
  <c r="X25" i="102"/>
  <c r="V25" i="102"/>
  <c r="N25" i="102"/>
  <c r="L25" i="102"/>
  <c r="B25" i="102"/>
  <c r="Z24" i="102"/>
  <c r="X24" i="102"/>
  <c r="L24" i="102"/>
  <c r="N24" i="102" s="1"/>
  <c r="J24" i="102"/>
  <c r="B24" i="102"/>
  <c r="Z23" i="102"/>
  <c r="X23" i="102"/>
  <c r="N23" i="102"/>
  <c r="L23" i="102"/>
  <c r="B23" i="102"/>
  <c r="X22" i="102"/>
  <c r="Z22" i="102" s="1"/>
  <c r="V22" i="102"/>
  <c r="R22" i="102"/>
  <c r="L22" i="102"/>
  <c r="N22" i="102" s="1"/>
  <c r="B22" i="102"/>
  <c r="X21" i="102"/>
  <c r="Z21" i="102" s="1"/>
  <c r="V21" i="102"/>
  <c r="L21" i="102"/>
  <c r="N21" i="102" s="1"/>
  <c r="J21" i="102"/>
  <c r="F21" i="102"/>
  <c r="B21" i="102"/>
  <c r="Z20" i="102"/>
  <c r="X20" i="102"/>
  <c r="L20" i="102"/>
  <c r="N20" i="102" s="1"/>
  <c r="J20" i="102"/>
  <c r="B20" i="102"/>
  <c r="V19" i="102"/>
  <c r="T19" i="102"/>
  <c r="P19" i="102"/>
  <c r="J19" i="102"/>
  <c r="H19" i="102"/>
  <c r="D19" i="102"/>
  <c r="B19" i="102"/>
  <c r="V18" i="102"/>
  <c r="T18" i="102"/>
  <c r="P18" i="102"/>
  <c r="L18" i="102"/>
  <c r="J18" i="102"/>
  <c r="H18" i="102"/>
  <c r="D18" i="102"/>
  <c r="V16" i="102"/>
  <c r="J16" i="102"/>
  <c r="V14" i="102"/>
  <c r="T14" i="102"/>
  <c r="P14" i="102"/>
  <c r="J14" i="102"/>
  <c r="H14" i="102"/>
  <c r="N14" i="102" s="1"/>
  <c r="D14" i="102"/>
  <c r="T12" i="102"/>
  <c r="P12" i="102"/>
  <c r="R44" i="102" s="1"/>
  <c r="N12" i="102"/>
  <c r="H12" i="102"/>
  <c r="J37" i="102" s="1"/>
  <c r="D12" i="102"/>
  <c r="F29" i="102" s="1"/>
  <c r="D6" i="102"/>
  <c r="D4" i="102"/>
  <c r="V43" i="101"/>
  <c r="R43" i="101"/>
  <c r="F43" i="101"/>
  <c r="V40" i="101"/>
  <c r="R40" i="101"/>
  <c r="F40" i="101"/>
  <c r="Z38" i="101"/>
  <c r="X38" i="101"/>
  <c r="V38" i="101"/>
  <c r="R38" i="101"/>
  <c r="N38" i="101"/>
  <c r="L38" i="101"/>
  <c r="V36" i="101"/>
  <c r="X34" i="101"/>
  <c r="V34" i="101"/>
  <c r="T34" i="101"/>
  <c r="Z34" i="101" s="1"/>
  <c r="P34" i="101"/>
  <c r="H34" i="101"/>
  <c r="N34" i="101" s="1"/>
  <c r="F34" i="101"/>
  <c r="D34" i="101"/>
  <c r="Z32" i="101"/>
  <c r="X32" i="101"/>
  <c r="V32" i="101"/>
  <c r="R32" i="101"/>
  <c r="N32" i="101"/>
  <c r="L32" i="101"/>
  <c r="F32" i="101"/>
  <c r="B32" i="101"/>
  <c r="Z31" i="101"/>
  <c r="X31" i="101"/>
  <c r="T31" i="101"/>
  <c r="R31" i="101"/>
  <c r="P31" i="101"/>
  <c r="N31" i="101"/>
  <c r="H31" i="101"/>
  <c r="F31" i="101"/>
  <c r="D31" i="101"/>
  <c r="L31" i="101" s="1"/>
  <c r="B31" i="101"/>
  <c r="Z30" i="101"/>
  <c r="X30" i="101"/>
  <c r="R30" i="101"/>
  <c r="N30" i="101"/>
  <c r="L30" i="101"/>
  <c r="B30" i="101"/>
  <c r="V29" i="101"/>
  <c r="T29" i="101"/>
  <c r="Z29" i="101" s="1"/>
  <c r="P29" i="101"/>
  <c r="N29" i="101"/>
  <c r="L29" i="101"/>
  <c r="H29" i="101"/>
  <c r="D29" i="101"/>
  <c r="B29" i="101"/>
  <c r="Z28" i="101"/>
  <c r="X28" i="101"/>
  <c r="V28" i="101"/>
  <c r="L28" i="101"/>
  <c r="N28" i="101" s="1"/>
  <c r="F28" i="101"/>
  <c r="B28" i="101"/>
  <c r="V27" i="101"/>
  <c r="T27" i="101"/>
  <c r="R27" i="101"/>
  <c r="P27" i="101"/>
  <c r="X27" i="101" s="1"/>
  <c r="H27" i="101"/>
  <c r="D27" i="101"/>
  <c r="B27" i="101"/>
  <c r="Z26" i="101"/>
  <c r="X26" i="101"/>
  <c r="V26" i="101"/>
  <c r="R26" i="101"/>
  <c r="N26" i="101"/>
  <c r="L26" i="101"/>
  <c r="F26" i="101"/>
  <c r="B26" i="101"/>
  <c r="Z25" i="101"/>
  <c r="T25" i="101"/>
  <c r="R25" i="101"/>
  <c r="P25" i="101"/>
  <c r="X25" i="101" s="1"/>
  <c r="N25" i="101"/>
  <c r="L25" i="101"/>
  <c r="H25" i="101"/>
  <c r="F25" i="101"/>
  <c r="D25" i="101"/>
  <c r="B25" i="101"/>
  <c r="Z24" i="101"/>
  <c r="X24" i="101"/>
  <c r="V24" i="101"/>
  <c r="R24" i="101"/>
  <c r="N24" i="101"/>
  <c r="L24" i="101"/>
  <c r="B24" i="101"/>
  <c r="Z23" i="101"/>
  <c r="X23" i="101"/>
  <c r="V23" i="101"/>
  <c r="R23" i="101"/>
  <c r="N23" i="101"/>
  <c r="L23" i="101"/>
  <c r="B23" i="101"/>
  <c r="Z22" i="101"/>
  <c r="X22" i="101"/>
  <c r="V22" i="101"/>
  <c r="R22" i="101"/>
  <c r="N22" i="101"/>
  <c r="L22" i="101"/>
  <c r="B22" i="101"/>
  <c r="Z21" i="101"/>
  <c r="X21" i="101"/>
  <c r="V21" i="101"/>
  <c r="R21" i="101"/>
  <c r="N21" i="101"/>
  <c r="L21" i="101"/>
  <c r="F21" i="101"/>
  <c r="B21" i="101"/>
  <c r="Z20" i="101"/>
  <c r="X20" i="101"/>
  <c r="V20" i="101"/>
  <c r="R20" i="101"/>
  <c r="N20" i="101"/>
  <c r="L20" i="101"/>
  <c r="B20" i="101"/>
  <c r="Z19" i="101"/>
  <c r="X19" i="101"/>
  <c r="V19" i="101"/>
  <c r="T19" i="101"/>
  <c r="P19" i="101"/>
  <c r="H19" i="101"/>
  <c r="L19" i="101" s="1"/>
  <c r="D19" i="101"/>
  <c r="B19" i="101"/>
  <c r="T18" i="101"/>
  <c r="R18" i="101"/>
  <c r="P18" i="101"/>
  <c r="X18" i="101" s="1"/>
  <c r="Z18" i="101" s="1"/>
  <c r="H18" i="101"/>
  <c r="D18" i="101"/>
  <c r="L18" i="101" s="1"/>
  <c r="N18" i="101" s="1"/>
  <c r="R16" i="101"/>
  <c r="D16" i="101"/>
  <c r="Z14" i="101"/>
  <c r="T14" i="101"/>
  <c r="R14" i="101"/>
  <c r="P14" i="101"/>
  <c r="X14" i="101" s="1"/>
  <c r="N14" i="101"/>
  <c r="H14" i="101"/>
  <c r="D14" i="101"/>
  <c r="L14" i="101" s="1"/>
  <c r="Z12" i="101"/>
  <c r="X12" i="101"/>
  <c r="T12" i="101"/>
  <c r="V30" i="101" s="1"/>
  <c r="P12" i="101"/>
  <c r="R36" i="101" s="1"/>
  <c r="L12" i="101"/>
  <c r="H12" i="101"/>
  <c r="J36" i="101" s="1"/>
  <c r="D12" i="101"/>
  <c r="F36" i="101" s="1"/>
  <c r="D6" i="101"/>
  <c r="D4" i="101"/>
  <c r="V37" i="100"/>
  <c r="F34" i="100"/>
  <c r="Z32" i="100"/>
  <c r="X32" i="100"/>
  <c r="V32" i="100"/>
  <c r="R32" i="100"/>
  <c r="N32" i="100"/>
  <c r="L32" i="100"/>
  <c r="V30" i="100"/>
  <c r="Z28" i="100"/>
  <c r="V28" i="100"/>
  <c r="T28" i="100"/>
  <c r="P28" i="100"/>
  <c r="X28" i="100" s="1"/>
  <c r="N28" i="100"/>
  <c r="L28" i="100"/>
  <c r="H28" i="100"/>
  <c r="D28" i="100"/>
  <c r="Z26" i="100"/>
  <c r="X26" i="100"/>
  <c r="V26" i="100"/>
  <c r="N26" i="100"/>
  <c r="L26" i="100"/>
  <c r="B26" i="100"/>
  <c r="X25" i="100"/>
  <c r="V25" i="100"/>
  <c r="T25" i="100"/>
  <c r="Z25" i="100" s="1"/>
  <c r="P25" i="100"/>
  <c r="J25" i="100"/>
  <c r="H25" i="100"/>
  <c r="D25" i="100"/>
  <c r="B25" i="100"/>
  <c r="Z24" i="100"/>
  <c r="X24" i="100"/>
  <c r="V24" i="100"/>
  <c r="R24" i="100"/>
  <c r="N24" i="100"/>
  <c r="L24" i="100"/>
  <c r="B24" i="100"/>
  <c r="Z23" i="100"/>
  <c r="T23" i="100"/>
  <c r="P23" i="100"/>
  <c r="X23" i="100" s="1"/>
  <c r="N23" i="100"/>
  <c r="L23" i="100"/>
  <c r="H23" i="100"/>
  <c r="F23" i="100"/>
  <c r="D23" i="100"/>
  <c r="B23" i="100"/>
  <c r="Z22" i="100"/>
  <c r="X22" i="100"/>
  <c r="V22" i="100"/>
  <c r="N22" i="100"/>
  <c r="L22" i="100"/>
  <c r="B22" i="100"/>
  <c r="Z21" i="100"/>
  <c r="X21" i="100"/>
  <c r="V21" i="100"/>
  <c r="T21" i="100"/>
  <c r="P21" i="100"/>
  <c r="N21" i="100"/>
  <c r="L21" i="100"/>
  <c r="H21" i="100"/>
  <c r="D21" i="100"/>
  <c r="B21" i="100"/>
  <c r="X20" i="100"/>
  <c r="Z20" i="100" s="1"/>
  <c r="N20" i="100"/>
  <c r="L20" i="100"/>
  <c r="B20" i="100"/>
  <c r="V19" i="100"/>
  <c r="T19" i="100"/>
  <c r="P19" i="100"/>
  <c r="H19" i="100"/>
  <c r="F19" i="100"/>
  <c r="D19" i="100"/>
  <c r="B19" i="100"/>
  <c r="V18" i="100"/>
  <c r="T18" i="100"/>
  <c r="P18" i="100"/>
  <c r="H18" i="100"/>
  <c r="D18" i="100"/>
  <c r="V14" i="100"/>
  <c r="T14" i="100"/>
  <c r="Z14" i="100" s="1"/>
  <c r="P14" i="100"/>
  <c r="H14" i="100"/>
  <c r="L14" i="100" s="1"/>
  <c r="F14" i="100"/>
  <c r="D14" i="100"/>
  <c r="T12" i="100"/>
  <c r="P12" i="100"/>
  <c r="H12" i="100"/>
  <c r="D12" i="100"/>
  <c r="F28" i="100" s="1"/>
  <c r="D6" i="100"/>
  <c r="D4" i="100"/>
  <c r="R61" i="99"/>
  <c r="R58" i="99"/>
  <c r="Z56" i="99"/>
  <c r="X56" i="99"/>
  <c r="N56" i="99"/>
  <c r="L56" i="99"/>
  <c r="R54" i="99"/>
  <c r="Z52" i="99"/>
  <c r="R52" i="99"/>
  <c r="P52" i="99"/>
  <c r="X52" i="99" s="1"/>
  <c r="N52" i="99"/>
  <c r="D52" i="99"/>
  <c r="B52" i="99"/>
  <c r="T51" i="99"/>
  <c r="Z51" i="99" s="1"/>
  <c r="H51" i="99"/>
  <c r="N51" i="99" s="1"/>
  <c r="F51" i="99"/>
  <c r="Z49" i="99"/>
  <c r="X49" i="99"/>
  <c r="R49" i="99"/>
  <c r="N49" i="99"/>
  <c r="L49" i="99"/>
  <c r="B49" i="99"/>
  <c r="Z48" i="99"/>
  <c r="T48" i="99"/>
  <c r="R48" i="99"/>
  <c r="P48" i="99"/>
  <c r="X48" i="99" s="1"/>
  <c r="N48" i="99"/>
  <c r="H48" i="99"/>
  <c r="D48" i="99"/>
  <c r="L48" i="99" s="1"/>
  <c r="B48" i="99"/>
  <c r="Z47" i="99"/>
  <c r="X47" i="99"/>
  <c r="R47" i="99"/>
  <c r="L47" i="99"/>
  <c r="N47" i="99" s="1"/>
  <c r="B47" i="99"/>
  <c r="T46" i="99"/>
  <c r="P46" i="99"/>
  <c r="H46" i="99"/>
  <c r="D46" i="99"/>
  <c r="B46" i="99"/>
  <c r="X45" i="99"/>
  <c r="Z45" i="99" s="1"/>
  <c r="L45" i="99"/>
  <c r="N45" i="99" s="1"/>
  <c r="B45" i="99"/>
  <c r="T44" i="99"/>
  <c r="R44" i="99"/>
  <c r="P44" i="99"/>
  <c r="X44" i="99" s="1"/>
  <c r="H44" i="99"/>
  <c r="D44" i="99"/>
  <c r="L44" i="99" s="1"/>
  <c r="B44" i="99"/>
  <c r="Z43" i="99"/>
  <c r="X43" i="99"/>
  <c r="R43" i="99"/>
  <c r="N43" i="99"/>
  <c r="L43" i="99"/>
  <c r="F43" i="99"/>
  <c r="B43" i="99"/>
  <c r="Z42" i="99"/>
  <c r="X42" i="99"/>
  <c r="N42" i="99"/>
  <c r="L42" i="99"/>
  <c r="B42" i="99"/>
  <c r="T41" i="99"/>
  <c r="P41" i="99"/>
  <c r="H41" i="99"/>
  <c r="N41" i="99" s="1"/>
  <c r="D41" i="99"/>
  <c r="B41" i="99"/>
  <c r="X40" i="99"/>
  <c r="Z40" i="99" s="1"/>
  <c r="R40" i="99"/>
  <c r="N40" i="99"/>
  <c r="L40" i="99"/>
  <c r="F40" i="99"/>
  <c r="B40" i="99"/>
  <c r="T39" i="99"/>
  <c r="Z39" i="99" s="1"/>
  <c r="P39" i="99"/>
  <c r="X39" i="99" s="1"/>
  <c r="H39" i="99"/>
  <c r="D39" i="99"/>
  <c r="B39" i="99"/>
  <c r="Z38" i="99"/>
  <c r="X38" i="99"/>
  <c r="R38" i="99"/>
  <c r="N38" i="99"/>
  <c r="L38" i="99"/>
  <c r="B38" i="99"/>
  <c r="Z37" i="99"/>
  <c r="X37" i="99"/>
  <c r="N37" i="99"/>
  <c r="L37" i="99"/>
  <c r="B37" i="99"/>
  <c r="Z36" i="99"/>
  <c r="X36" i="99"/>
  <c r="R36" i="99"/>
  <c r="N36" i="99"/>
  <c r="L36" i="99"/>
  <c r="B36" i="99"/>
  <c r="Z35" i="99"/>
  <c r="X35" i="99"/>
  <c r="N35" i="99"/>
  <c r="L35" i="99"/>
  <c r="B35" i="99"/>
  <c r="Z34" i="99"/>
  <c r="X34" i="99"/>
  <c r="R34" i="99"/>
  <c r="N34" i="99"/>
  <c r="L34" i="99"/>
  <c r="B34" i="99"/>
  <c r="Z33" i="99"/>
  <c r="X33" i="99"/>
  <c r="N33" i="99"/>
  <c r="L33" i="99"/>
  <c r="B33" i="99"/>
  <c r="Z32" i="99"/>
  <c r="X32" i="99"/>
  <c r="R32" i="99"/>
  <c r="N32" i="99"/>
  <c r="L32" i="99"/>
  <c r="B32" i="99"/>
  <c r="Z31" i="99"/>
  <c r="X31" i="99"/>
  <c r="N31" i="99"/>
  <c r="L31" i="99"/>
  <c r="B31" i="99"/>
  <c r="Z30" i="99"/>
  <c r="X30" i="99"/>
  <c r="R30" i="99"/>
  <c r="N30" i="99"/>
  <c r="L30" i="99"/>
  <c r="B30" i="99"/>
  <c r="Z29" i="99"/>
  <c r="X29" i="99"/>
  <c r="L29" i="99"/>
  <c r="N29" i="99" s="1"/>
  <c r="B29" i="99"/>
  <c r="Z28" i="99"/>
  <c r="V28" i="99"/>
  <c r="T28" i="99"/>
  <c r="P28" i="99"/>
  <c r="X28" i="99" s="1"/>
  <c r="H28" i="99"/>
  <c r="D28" i="99"/>
  <c r="B28" i="99"/>
  <c r="Z27" i="99"/>
  <c r="X27" i="99"/>
  <c r="R27" i="99"/>
  <c r="N27" i="99"/>
  <c r="L27" i="99"/>
  <c r="B27" i="99"/>
  <c r="Z26" i="99"/>
  <c r="X26" i="99"/>
  <c r="L26" i="99"/>
  <c r="N26" i="99" s="1"/>
  <c r="B26" i="99"/>
  <c r="Z25" i="99"/>
  <c r="X25" i="99"/>
  <c r="R25" i="99"/>
  <c r="N25" i="99"/>
  <c r="L25" i="99"/>
  <c r="B25" i="99"/>
  <c r="X24" i="99"/>
  <c r="Z24" i="99" s="1"/>
  <c r="N24" i="99"/>
  <c r="L24" i="99"/>
  <c r="B24" i="99"/>
  <c r="X23" i="99"/>
  <c r="Z23" i="99" s="1"/>
  <c r="R23" i="99"/>
  <c r="L23" i="99"/>
  <c r="N23" i="99" s="1"/>
  <c r="B23" i="99"/>
  <c r="Z22" i="99"/>
  <c r="X22" i="99"/>
  <c r="L22" i="99"/>
  <c r="N22" i="99" s="1"/>
  <c r="B22" i="99"/>
  <c r="X21" i="99"/>
  <c r="Z21" i="99" s="1"/>
  <c r="R21" i="99"/>
  <c r="L21" i="99"/>
  <c r="N21" i="99" s="1"/>
  <c r="B21" i="99"/>
  <c r="X20" i="99"/>
  <c r="Z20" i="99" s="1"/>
  <c r="L20" i="99"/>
  <c r="N20" i="99" s="1"/>
  <c r="B20" i="99"/>
  <c r="X19" i="99"/>
  <c r="V19" i="99"/>
  <c r="T19" i="99"/>
  <c r="P19" i="99"/>
  <c r="L19" i="99"/>
  <c r="H19" i="99"/>
  <c r="D19" i="99"/>
  <c r="B19" i="99"/>
  <c r="Z18" i="99"/>
  <c r="X18" i="99"/>
  <c r="V18" i="99"/>
  <c r="T18" i="99"/>
  <c r="P18" i="99"/>
  <c r="N18" i="99"/>
  <c r="L18" i="99"/>
  <c r="H18" i="99"/>
  <c r="D18" i="99"/>
  <c r="V16" i="99"/>
  <c r="Z14" i="99"/>
  <c r="X14" i="99"/>
  <c r="V14" i="99"/>
  <c r="T14" i="99"/>
  <c r="P14" i="99"/>
  <c r="P16" i="99" s="1"/>
  <c r="N14" i="99"/>
  <c r="L14" i="99"/>
  <c r="H14" i="99"/>
  <c r="D14" i="99"/>
  <c r="T12" i="99"/>
  <c r="P12" i="99"/>
  <c r="H12" i="99"/>
  <c r="D12" i="99"/>
  <c r="F41" i="99" s="1"/>
  <c r="D6" i="99"/>
  <c r="D4" i="99"/>
  <c r="V29" i="98"/>
  <c r="R29" i="98"/>
  <c r="J29" i="98"/>
  <c r="V26" i="98"/>
  <c r="R26" i="98"/>
  <c r="J26" i="98"/>
  <c r="Z24" i="98"/>
  <c r="X24" i="98"/>
  <c r="V24" i="98"/>
  <c r="R24" i="98"/>
  <c r="N24" i="98"/>
  <c r="L24" i="98"/>
  <c r="J22" i="98"/>
  <c r="Z20" i="98"/>
  <c r="X20" i="98"/>
  <c r="T20" i="98"/>
  <c r="P20" i="98"/>
  <c r="N20" i="98"/>
  <c r="L20" i="98"/>
  <c r="J20" i="98"/>
  <c r="H20" i="98"/>
  <c r="D20" i="98"/>
  <c r="Z18" i="98"/>
  <c r="X18" i="98"/>
  <c r="T18" i="98"/>
  <c r="P18" i="98"/>
  <c r="N18" i="98"/>
  <c r="L18" i="98"/>
  <c r="J18" i="98"/>
  <c r="H18" i="98"/>
  <c r="D18" i="98"/>
  <c r="J16" i="98"/>
  <c r="Z14" i="98"/>
  <c r="X14" i="98"/>
  <c r="T14" i="98"/>
  <c r="T16" i="98" s="1"/>
  <c r="T22" i="98" s="1"/>
  <c r="T26" i="98" s="1"/>
  <c r="P14" i="98"/>
  <c r="P16" i="98" s="1"/>
  <c r="N14" i="98"/>
  <c r="L14" i="98"/>
  <c r="J14" i="98"/>
  <c r="H14" i="98"/>
  <c r="D14" i="98"/>
  <c r="Z12" i="98"/>
  <c r="X12" i="98"/>
  <c r="T12" i="98"/>
  <c r="V22" i="98" s="1"/>
  <c r="P12" i="98"/>
  <c r="R22" i="98" s="1"/>
  <c r="H12" i="98"/>
  <c r="J24" i="98" s="1"/>
  <c r="D12" i="98"/>
  <c r="F22" i="98" s="1"/>
  <c r="D6" i="98"/>
  <c r="D4" i="98"/>
  <c r="V91" i="97"/>
  <c r="V88" i="97"/>
  <c r="Z86" i="97"/>
  <c r="X86" i="97"/>
  <c r="V86" i="97"/>
  <c r="N86" i="97"/>
  <c r="L86" i="97"/>
  <c r="V84" i="97"/>
  <c r="Z82" i="97"/>
  <c r="X82" i="97"/>
  <c r="P82" i="97"/>
  <c r="N82" i="97"/>
  <c r="L82" i="97"/>
  <c r="D82" i="97"/>
  <c r="D81" i="97" s="1"/>
  <c r="L81" i="97" s="1"/>
  <c r="B82" i="97"/>
  <c r="T81" i="97"/>
  <c r="P81" i="97"/>
  <c r="N81" i="97"/>
  <c r="H81" i="97"/>
  <c r="Z79" i="97"/>
  <c r="X79" i="97"/>
  <c r="N79" i="97"/>
  <c r="L79" i="97"/>
  <c r="B79" i="97"/>
  <c r="T78" i="97"/>
  <c r="Z78" i="97" s="1"/>
  <c r="P78" i="97"/>
  <c r="X78" i="97" s="1"/>
  <c r="N78" i="97"/>
  <c r="H78" i="97"/>
  <c r="F78" i="97"/>
  <c r="D78" i="97"/>
  <c r="L78" i="97" s="1"/>
  <c r="B78" i="97"/>
  <c r="Z77" i="97"/>
  <c r="X77" i="97"/>
  <c r="N77" i="97"/>
  <c r="L77" i="97"/>
  <c r="B77" i="97"/>
  <c r="Z76" i="97"/>
  <c r="X76" i="97"/>
  <c r="N76" i="97"/>
  <c r="L76" i="97"/>
  <c r="B76" i="97"/>
  <c r="T75" i="97"/>
  <c r="Z75" i="97" s="1"/>
  <c r="P75" i="97"/>
  <c r="H75" i="97"/>
  <c r="N75" i="97" s="1"/>
  <c r="D75" i="97"/>
  <c r="L75" i="97" s="1"/>
  <c r="B75" i="97"/>
  <c r="Z74" i="97"/>
  <c r="X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B72" i="97"/>
  <c r="Z71" i="97"/>
  <c r="X71" i="97"/>
  <c r="N71" i="97"/>
  <c r="L71" i="97"/>
  <c r="B71" i="97"/>
  <c r="Z70" i="97"/>
  <c r="X70" i="97"/>
  <c r="V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B68" i="97"/>
  <c r="Z67" i="97"/>
  <c r="X67" i="97"/>
  <c r="N67" i="97"/>
  <c r="L67" i="97"/>
  <c r="F67" i="97"/>
  <c r="B67" i="97"/>
  <c r="Z66" i="97"/>
  <c r="X66" i="97"/>
  <c r="N66" i="97"/>
  <c r="L66" i="97"/>
  <c r="B66" i="97"/>
  <c r="Z65" i="97"/>
  <c r="X65" i="97"/>
  <c r="N65" i="97"/>
  <c r="L65" i="97"/>
  <c r="B65" i="97"/>
  <c r="T64" i="97"/>
  <c r="Z64" i="97" s="1"/>
  <c r="P64" i="97"/>
  <c r="H64" i="97"/>
  <c r="N64" i="97" s="1"/>
  <c r="D64" i="97"/>
  <c r="B64" i="97"/>
  <c r="Z63" i="97"/>
  <c r="X63" i="97"/>
  <c r="N63" i="97"/>
  <c r="L63" i="97"/>
  <c r="F63" i="97"/>
  <c r="B63" i="97"/>
  <c r="T62" i="97"/>
  <c r="Z62" i="97" s="1"/>
  <c r="P62" i="97"/>
  <c r="X62" i="97" s="1"/>
  <c r="N62" i="97"/>
  <c r="H62" i="97"/>
  <c r="F62" i="97"/>
  <c r="D62" i="97"/>
  <c r="L62" i="97" s="1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X59" i="97" s="1"/>
  <c r="H59" i="97"/>
  <c r="N59" i="97" s="1"/>
  <c r="D59" i="97"/>
  <c r="L59" i="97" s="1"/>
  <c r="B59" i="97"/>
  <c r="Z58" i="97"/>
  <c r="X58" i="97"/>
  <c r="V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B56" i="97"/>
  <c r="Z55" i="97"/>
  <c r="T55" i="97"/>
  <c r="P55" i="97"/>
  <c r="X55" i="97" s="1"/>
  <c r="N55" i="97"/>
  <c r="L55" i="97"/>
  <c r="H55" i="97"/>
  <c r="D55" i="97"/>
  <c r="B55" i="97"/>
  <c r="Z54" i="97"/>
  <c r="X54" i="97"/>
  <c r="N54" i="97"/>
  <c r="L54" i="97"/>
  <c r="B54" i="97"/>
  <c r="Z53" i="97"/>
  <c r="X53" i="97"/>
  <c r="T53" i="97"/>
  <c r="P53" i="97"/>
  <c r="L53" i="97"/>
  <c r="H53" i="97"/>
  <c r="N53" i="97" s="1"/>
  <c r="D53" i="97"/>
  <c r="B53" i="97"/>
  <c r="Z52" i="97"/>
  <c r="X52" i="97"/>
  <c r="N52" i="97"/>
  <c r="L52" i="97"/>
  <c r="B52" i="97"/>
  <c r="T51" i="97"/>
  <c r="Z51" i="97" s="1"/>
  <c r="P51" i="97"/>
  <c r="H51" i="97"/>
  <c r="N51" i="97" s="1"/>
  <c r="D51" i="97"/>
  <c r="B51" i="97"/>
  <c r="Z50" i="97"/>
  <c r="X50" i="97"/>
  <c r="V50" i="97"/>
  <c r="N50" i="97"/>
  <c r="L50" i="97"/>
  <c r="B50" i="97"/>
  <c r="Z49" i="97"/>
  <c r="X49" i="97"/>
  <c r="T49" i="97"/>
  <c r="P49" i="97"/>
  <c r="N49" i="97"/>
  <c r="H49" i="97"/>
  <c r="D49" i="97"/>
  <c r="L49" i="97" s="1"/>
  <c r="B49" i="97"/>
  <c r="Z48" i="97"/>
  <c r="X48" i="97"/>
  <c r="N48" i="97"/>
  <c r="L48" i="97"/>
  <c r="B48" i="97"/>
  <c r="Z47" i="97"/>
  <c r="X47" i="97"/>
  <c r="N47" i="97"/>
  <c r="L47" i="97"/>
  <c r="F47" i="97"/>
  <c r="B47" i="97"/>
  <c r="T46" i="97"/>
  <c r="P46" i="97"/>
  <c r="X46" i="97" s="1"/>
  <c r="N46" i="97"/>
  <c r="H46" i="97"/>
  <c r="F46" i="97"/>
  <c r="D46" i="97"/>
  <c r="L46" i="97" s="1"/>
  <c r="B46" i="97"/>
  <c r="Z45" i="97"/>
  <c r="X45" i="97"/>
  <c r="N45" i="97"/>
  <c r="L45" i="97"/>
  <c r="B45" i="97"/>
  <c r="Z44" i="97"/>
  <c r="X44" i="97"/>
  <c r="T44" i="97"/>
  <c r="P44" i="97"/>
  <c r="N44" i="97"/>
  <c r="L44" i="97"/>
  <c r="J44" i="97"/>
  <c r="H44" i="97"/>
  <c r="D44" i="97"/>
  <c r="B44" i="97"/>
  <c r="Z43" i="97"/>
  <c r="X43" i="97"/>
  <c r="N43" i="97"/>
  <c r="L43" i="97"/>
  <c r="F43" i="97"/>
  <c r="B43" i="97"/>
  <c r="T42" i="97"/>
  <c r="Z42" i="97" s="1"/>
  <c r="P42" i="97"/>
  <c r="H42" i="97"/>
  <c r="N42" i="97" s="1"/>
  <c r="D42" i="97"/>
  <c r="B42" i="97"/>
  <c r="Z41" i="97"/>
  <c r="X41" i="97"/>
  <c r="N41" i="97"/>
  <c r="L41" i="97"/>
  <c r="B41" i="97"/>
  <c r="Z40" i="97"/>
  <c r="X40" i="97"/>
  <c r="N40" i="97"/>
  <c r="L40" i="97"/>
  <c r="B40" i="97"/>
  <c r="Z39" i="97"/>
  <c r="X39" i="97"/>
  <c r="N39" i="97"/>
  <c r="L39" i="97"/>
  <c r="B39" i="97"/>
  <c r="Z38" i="97"/>
  <c r="X38" i="97"/>
  <c r="N38" i="97"/>
  <c r="L38" i="97"/>
  <c r="B38" i="97"/>
  <c r="Z37" i="97"/>
  <c r="X37" i="97"/>
  <c r="N37" i="97"/>
  <c r="L37" i="97"/>
  <c r="B37" i="97"/>
  <c r="Z36" i="97"/>
  <c r="X36" i="97"/>
  <c r="N36" i="97"/>
  <c r="L36" i="97"/>
  <c r="B36" i="97"/>
  <c r="Z35" i="97"/>
  <c r="X35" i="97"/>
  <c r="V35" i="97"/>
  <c r="N35" i="97"/>
  <c r="L35" i="97"/>
  <c r="F35" i="97"/>
  <c r="B35" i="97"/>
  <c r="Z34" i="97"/>
  <c r="X34" i="97"/>
  <c r="N34" i="97"/>
  <c r="L34" i="97"/>
  <c r="B34" i="97"/>
  <c r="Z33" i="97"/>
  <c r="X33" i="97"/>
  <c r="V33" i="97"/>
  <c r="N33" i="97"/>
  <c r="L33" i="97"/>
  <c r="F33" i="97"/>
  <c r="B33" i="97"/>
  <c r="Z32" i="97"/>
  <c r="X32" i="97"/>
  <c r="N32" i="97"/>
  <c r="L32" i="97"/>
  <c r="B32" i="97"/>
  <c r="V31" i="97"/>
  <c r="T31" i="97"/>
  <c r="Z31" i="97" s="1"/>
  <c r="P31" i="97"/>
  <c r="N31" i="97"/>
  <c r="L31" i="97"/>
  <c r="H31" i="97"/>
  <c r="D31" i="97"/>
  <c r="B31" i="97"/>
  <c r="Z30" i="97"/>
  <c r="X30" i="97"/>
  <c r="V30" i="97"/>
  <c r="N30" i="97"/>
  <c r="L30" i="97"/>
  <c r="F30" i="97"/>
  <c r="B30" i="97"/>
  <c r="Z29" i="97"/>
  <c r="X29" i="97"/>
  <c r="N29" i="97"/>
  <c r="L29" i="97"/>
  <c r="B29" i="97"/>
  <c r="Z28" i="97"/>
  <c r="X28" i="97"/>
  <c r="N28" i="97"/>
  <c r="L28" i="97"/>
  <c r="J28" i="97"/>
  <c r="F28" i="97"/>
  <c r="B28" i="97"/>
  <c r="Z27" i="97"/>
  <c r="X27" i="97"/>
  <c r="N27" i="97"/>
  <c r="L27" i="97"/>
  <c r="B27" i="97"/>
  <c r="Z26" i="97"/>
  <c r="X26" i="97"/>
  <c r="N26" i="97"/>
  <c r="L26" i="97"/>
  <c r="F26" i="97"/>
  <c r="B26" i="97"/>
  <c r="Z25" i="97"/>
  <c r="X25" i="97"/>
  <c r="N25" i="97"/>
  <c r="L25" i="97"/>
  <c r="B25" i="97"/>
  <c r="Z24" i="97"/>
  <c r="X24" i="97"/>
  <c r="N24" i="97"/>
  <c r="L24" i="97"/>
  <c r="B24" i="97"/>
  <c r="Z23" i="97"/>
  <c r="X23" i="97"/>
  <c r="N23" i="97"/>
  <c r="L23" i="97"/>
  <c r="B23" i="97"/>
  <c r="Z22" i="97"/>
  <c r="X22" i="97"/>
  <c r="T22" i="97"/>
  <c r="P22" i="97"/>
  <c r="N22" i="97"/>
  <c r="L22" i="97"/>
  <c r="H22" i="97"/>
  <c r="D22" i="97"/>
  <c r="B22" i="97"/>
  <c r="T21" i="97"/>
  <c r="P21" i="97"/>
  <c r="X21" i="97" s="1"/>
  <c r="Z21" i="97" s="1"/>
  <c r="H21" i="97"/>
  <c r="D21" i="97"/>
  <c r="L21" i="97" s="1"/>
  <c r="N21" i="97" s="1"/>
  <c r="D19" i="97"/>
  <c r="Z17" i="97"/>
  <c r="X17" i="97"/>
  <c r="N17" i="97"/>
  <c r="L17" i="97"/>
  <c r="B17" i="97"/>
  <c r="V16" i="97"/>
  <c r="T16" i="97"/>
  <c r="P16" i="97"/>
  <c r="H16" i="97"/>
  <c r="D16" i="97"/>
  <c r="Z14" i="97"/>
  <c r="P14" i="97"/>
  <c r="X14" i="97" s="1"/>
  <c r="N14" i="97"/>
  <c r="L14" i="97"/>
  <c r="D14" i="97"/>
  <c r="B14" i="97"/>
  <c r="Z13" i="97"/>
  <c r="P13" i="97"/>
  <c r="N13" i="97"/>
  <c r="L13" i="97"/>
  <c r="D13" i="97"/>
  <c r="B13" i="97"/>
  <c r="Z12" i="97"/>
  <c r="T12" i="97"/>
  <c r="V66" i="97" s="1"/>
  <c r="H12" i="97"/>
  <c r="J64" i="97" s="1"/>
  <c r="D12" i="97"/>
  <c r="F79" i="97" s="1"/>
  <c r="D6" i="97"/>
  <c r="D4" i="97"/>
  <c r="X93" i="95"/>
  <c r="Z93" i="95" s="1"/>
  <c r="L93" i="95"/>
  <c r="N93" i="95" s="1"/>
  <c r="Z89" i="95"/>
  <c r="X89" i="95"/>
  <c r="T89" i="95"/>
  <c r="P89" i="95"/>
  <c r="N89" i="95"/>
  <c r="L89" i="95"/>
  <c r="H89" i="95"/>
  <c r="D89" i="95"/>
  <c r="X87" i="95"/>
  <c r="Z87" i="95" s="1"/>
  <c r="L87" i="95"/>
  <c r="N87" i="95" s="1"/>
  <c r="B87" i="95"/>
  <c r="Z86" i="95"/>
  <c r="T86" i="95"/>
  <c r="P86" i="95"/>
  <c r="X86" i="95" s="1"/>
  <c r="H86" i="95"/>
  <c r="D86" i="95"/>
  <c r="L86" i="95" s="1"/>
  <c r="B86" i="95"/>
  <c r="X85" i="95"/>
  <c r="Z85" i="95" s="1"/>
  <c r="N85" i="95"/>
  <c r="L85" i="95"/>
  <c r="B85" i="95"/>
  <c r="Z84" i="95"/>
  <c r="X84" i="95"/>
  <c r="L84" i="95"/>
  <c r="N84" i="95" s="1"/>
  <c r="B84" i="95"/>
  <c r="T83" i="95"/>
  <c r="P83" i="95"/>
  <c r="X83" i="95" s="1"/>
  <c r="H83" i="95"/>
  <c r="D83" i="95"/>
  <c r="B83" i="95"/>
  <c r="X82" i="95"/>
  <c r="Z82" i="95" s="1"/>
  <c r="N82" i="95"/>
  <c r="L82" i="95"/>
  <c r="J82" i="95"/>
  <c r="B82" i="95"/>
  <c r="Z81" i="95"/>
  <c r="X81" i="95"/>
  <c r="N81" i="95"/>
  <c r="L81" i="95"/>
  <c r="B81" i="95"/>
  <c r="Z80" i="95"/>
  <c r="X80" i="95"/>
  <c r="N80" i="95"/>
  <c r="L80" i="95"/>
  <c r="B80" i="95"/>
  <c r="X79" i="95"/>
  <c r="Z79" i="95" s="1"/>
  <c r="L79" i="95"/>
  <c r="N79" i="95" s="1"/>
  <c r="B79" i="95"/>
  <c r="X78" i="95"/>
  <c r="Z78" i="95" s="1"/>
  <c r="N78" i="95"/>
  <c r="L78" i="95"/>
  <c r="B78" i="95"/>
  <c r="Z77" i="95"/>
  <c r="X77" i="95"/>
  <c r="N77" i="95"/>
  <c r="L77" i="95"/>
  <c r="B77" i="95"/>
  <c r="Z76" i="95"/>
  <c r="X76" i="95"/>
  <c r="N76" i="95"/>
  <c r="L76" i="95"/>
  <c r="B76" i="95"/>
  <c r="T75" i="95"/>
  <c r="P75" i="95"/>
  <c r="H75" i="95"/>
  <c r="D75" i="95"/>
  <c r="B75" i="95"/>
  <c r="Z74" i="95"/>
  <c r="X74" i="95"/>
  <c r="L74" i="95"/>
  <c r="N74" i="95" s="1"/>
  <c r="B74" i="95"/>
  <c r="X73" i="95"/>
  <c r="Z73" i="95" s="1"/>
  <c r="T73" i="95"/>
  <c r="P73" i="95"/>
  <c r="L73" i="95"/>
  <c r="N73" i="95" s="1"/>
  <c r="H73" i="95"/>
  <c r="D73" i="95"/>
  <c r="B73" i="95"/>
  <c r="Z72" i="95"/>
  <c r="X72" i="95"/>
  <c r="N72" i="95"/>
  <c r="L72" i="95"/>
  <c r="B72" i="95"/>
  <c r="X71" i="95"/>
  <c r="Z71" i="95" s="1"/>
  <c r="L71" i="95"/>
  <c r="N71" i="95" s="1"/>
  <c r="B71" i="95"/>
  <c r="Z70" i="95"/>
  <c r="X70" i="95"/>
  <c r="N70" i="95"/>
  <c r="L70" i="95"/>
  <c r="B70" i="95"/>
  <c r="X69" i="95"/>
  <c r="Z69" i="95" s="1"/>
  <c r="N69" i="95"/>
  <c r="L69" i="95"/>
  <c r="B69" i="95"/>
  <c r="Z68" i="95"/>
  <c r="X68" i="95"/>
  <c r="L68" i="95"/>
  <c r="N68" i="95" s="1"/>
  <c r="B68" i="95"/>
  <c r="T67" i="95"/>
  <c r="P67" i="95"/>
  <c r="X67" i="95" s="1"/>
  <c r="L67" i="95"/>
  <c r="H67" i="95"/>
  <c r="D67" i="95"/>
  <c r="B67" i="95"/>
  <c r="Z66" i="95"/>
  <c r="X66" i="95"/>
  <c r="N66" i="95"/>
  <c r="L66" i="95"/>
  <c r="J66" i="95"/>
  <c r="B66" i="95"/>
  <c r="Z65" i="95"/>
  <c r="X65" i="95"/>
  <c r="N65" i="95"/>
  <c r="L65" i="95"/>
  <c r="B65" i="95"/>
  <c r="Z64" i="95"/>
  <c r="T64" i="95"/>
  <c r="X64" i="95" s="1"/>
  <c r="P64" i="95"/>
  <c r="N64" i="95"/>
  <c r="L64" i="95"/>
  <c r="H64" i="95"/>
  <c r="D64" i="95"/>
  <c r="B64" i="95"/>
  <c r="Z63" i="95"/>
  <c r="X63" i="95"/>
  <c r="L63" i="95"/>
  <c r="N63" i="95" s="1"/>
  <c r="B63" i="95"/>
  <c r="T62" i="95"/>
  <c r="P62" i="95"/>
  <c r="X62" i="95" s="1"/>
  <c r="J62" i="95"/>
  <c r="H62" i="95"/>
  <c r="D62" i="95"/>
  <c r="L62" i="95" s="1"/>
  <c r="B62" i="95"/>
  <c r="X61" i="95"/>
  <c r="Z61" i="95" s="1"/>
  <c r="N61" i="95"/>
  <c r="L61" i="95"/>
  <c r="B61" i="95"/>
  <c r="Z60" i="95"/>
  <c r="T60" i="95"/>
  <c r="P60" i="95"/>
  <c r="X60" i="95" s="1"/>
  <c r="H60" i="95"/>
  <c r="D60" i="95"/>
  <c r="L60" i="95" s="1"/>
  <c r="N60" i="95" s="1"/>
  <c r="B60" i="95"/>
  <c r="X59" i="95"/>
  <c r="Z59" i="95" s="1"/>
  <c r="N59" i="95"/>
  <c r="L59" i="95"/>
  <c r="J59" i="95"/>
  <c r="B59" i="95"/>
  <c r="Z58" i="95"/>
  <c r="X58" i="95"/>
  <c r="T58" i="95"/>
  <c r="P58" i="95"/>
  <c r="H58" i="95"/>
  <c r="N58" i="95" s="1"/>
  <c r="D58" i="95"/>
  <c r="B58" i="95"/>
  <c r="Z57" i="95"/>
  <c r="X57" i="95"/>
  <c r="L57" i="95"/>
  <c r="N57" i="95" s="1"/>
  <c r="J57" i="95"/>
  <c r="B57" i="95"/>
  <c r="T56" i="95"/>
  <c r="P56" i="95"/>
  <c r="X56" i="95" s="1"/>
  <c r="H56" i="95"/>
  <c r="N56" i="95" s="1"/>
  <c r="D56" i="95"/>
  <c r="L56" i="95" s="1"/>
  <c r="B56" i="95"/>
  <c r="X55" i="95"/>
  <c r="Z55" i="95" s="1"/>
  <c r="L55" i="95"/>
  <c r="N55" i="95" s="1"/>
  <c r="B55" i="95"/>
  <c r="Z54" i="95"/>
  <c r="X54" i="95"/>
  <c r="N54" i="95"/>
  <c r="L54" i="95"/>
  <c r="B54" i="95"/>
  <c r="T53" i="95"/>
  <c r="P53" i="95"/>
  <c r="L53" i="95"/>
  <c r="H53" i="95"/>
  <c r="D53" i="95"/>
  <c r="B53" i="95"/>
  <c r="X52" i="95"/>
  <c r="Z52" i="95" s="1"/>
  <c r="N52" i="95"/>
  <c r="L52" i="95"/>
  <c r="J52" i="95"/>
  <c r="B52" i="95"/>
  <c r="X51" i="95"/>
  <c r="T51" i="95"/>
  <c r="P51" i="95"/>
  <c r="N51" i="95"/>
  <c r="H51" i="95"/>
  <c r="D51" i="95"/>
  <c r="L51" i="95" s="1"/>
  <c r="B51" i="95"/>
  <c r="Z50" i="95"/>
  <c r="X50" i="95"/>
  <c r="L50" i="95"/>
  <c r="N50" i="95" s="1"/>
  <c r="B50" i="95"/>
  <c r="T49" i="95"/>
  <c r="Z49" i="95" s="1"/>
  <c r="P49" i="95"/>
  <c r="X49" i="95" s="1"/>
  <c r="L49" i="95"/>
  <c r="N49" i="95" s="1"/>
  <c r="J49" i="95"/>
  <c r="H49" i="95"/>
  <c r="D49" i="95"/>
  <c r="B49" i="95"/>
  <c r="Z48" i="95"/>
  <c r="X48" i="95"/>
  <c r="L48" i="95"/>
  <c r="N48" i="95" s="1"/>
  <c r="B48" i="95"/>
  <c r="X47" i="95"/>
  <c r="T47" i="95"/>
  <c r="P47" i="95"/>
  <c r="H47" i="95"/>
  <c r="D47" i="95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N44" i="95"/>
  <c r="L44" i="95"/>
  <c r="B44" i="95"/>
  <c r="X43" i="95"/>
  <c r="Z43" i="95" s="1"/>
  <c r="N43" i="95"/>
  <c r="L43" i="95"/>
  <c r="B43" i="95"/>
  <c r="Z42" i="95"/>
  <c r="X42" i="95"/>
  <c r="N42" i="95"/>
  <c r="L42" i="95"/>
  <c r="B42" i="95"/>
  <c r="Z41" i="95"/>
  <c r="X41" i="95"/>
  <c r="L41" i="95"/>
  <c r="N41" i="95" s="1"/>
  <c r="B41" i="95"/>
  <c r="X40" i="95"/>
  <c r="Z40" i="95" s="1"/>
  <c r="N40" i="95"/>
  <c r="L40" i="95"/>
  <c r="B40" i="95"/>
  <c r="Z39" i="95"/>
  <c r="X39" i="95"/>
  <c r="N39" i="95"/>
  <c r="L39" i="95"/>
  <c r="J39" i="95"/>
  <c r="B39" i="95"/>
  <c r="X38" i="95"/>
  <c r="Z38" i="95" s="1"/>
  <c r="N38" i="95"/>
  <c r="L38" i="95"/>
  <c r="B38" i="95"/>
  <c r="Z37" i="95"/>
  <c r="X37" i="95"/>
  <c r="N37" i="95"/>
  <c r="L37" i="95"/>
  <c r="B37" i="95"/>
  <c r="T36" i="95"/>
  <c r="X36" i="95" s="1"/>
  <c r="Z36" i="95" s="1"/>
  <c r="P36" i="95"/>
  <c r="L36" i="95"/>
  <c r="N36" i="95" s="1"/>
  <c r="J36" i="95"/>
  <c r="H36" i="95"/>
  <c r="D36" i="95"/>
  <c r="B36" i="95"/>
  <c r="Z35" i="95"/>
  <c r="X35" i="95"/>
  <c r="N35" i="95"/>
  <c r="L35" i="95"/>
  <c r="B35" i="95"/>
  <c r="Z34" i="95"/>
  <c r="X34" i="95"/>
  <c r="N34" i="95"/>
  <c r="L34" i="95"/>
  <c r="B34" i="95"/>
  <c r="X33" i="95"/>
  <c r="Z33" i="95" s="1"/>
  <c r="L33" i="95"/>
  <c r="N33" i="95" s="1"/>
  <c r="J33" i="95"/>
  <c r="B33" i="95"/>
  <c r="Z32" i="95"/>
  <c r="X32" i="95"/>
  <c r="N32" i="95"/>
  <c r="L32" i="95"/>
  <c r="J32" i="95"/>
  <c r="B32" i="95"/>
  <c r="X31" i="95"/>
  <c r="Z31" i="95" s="1"/>
  <c r="L31" i="95"/>
  <c r="N31" i="95" s="1"/>
  <c r="J31" i="95"/>
  <c r="B31" i="95"/>
  <c r="Z30" i="95"/>
  <c r="X30" i="95"/>
  <c r="L30" i="95"/>
  <c r="N30" i="95" s="1"/>
  <c r="B30" i="95"/>
  <c r="X29" i="95"/>
  <c r="Z29" i="95" s="1"/>
  <c r="L29" i="95"/>
  <c r="N29" i="95" s="1"/>
  <c r="B29" i="95"/>
  <c r="X28" i="95"/>
  <c r="Z28" i="95" s="1"/>
  <c r="N28" i="95"/>
  <c r="L28" i="95"/>
  <c r="B28" i="95"/>
  <c r="Z27" i="95"/>
  <c r="X27" i="95"/>
  <c r="L27" i="95"/>
  <c r="N27" i="95" s="1"/>
  <c r="B27" i="95"/>
  <c r="T26" i="95"/>
  <c r="P26" i="95"/>
  <c r="X26" i="95" s="1"/>
  <c r="J26" i="95"/>
  <c r="H26" i="95"/>
  <c r="D26" i="95"/>
  <c r="B26" i="95"/>
  <c r="X25" i="95"/>
  <c r="T25" i="95"/>
  <c r="P25" i="95"/>
  <c r="J25" i="95"/>
  <c r="H25" i="95"/>
  <c r="D25" i="95"/>
  <c r="L25" i="95" s="1"/>
  <c r="H23" i="95"/>
  <c r="Z21" i="95"/>
  <c r="X21" i="95"/>
  <c r="N21" i="95"/>
  <c r="L21" i="95"/>
  <c r="B21" i="95"/>
  <c r="Z20" i="95"/>
  <c r="X20" i="95"/>
  <c r="N20" i="95"/>
  <c r="L20" i="95"/>
  <c r="J20" i="95"/>
  <c r="B20" i="95"/>
  <c r="X19" i="95"/>
  <c r="Z19" i="95" s="1"/>
  <c r="L19" i="95"/>
  <c r="N19" i="95" s="1"/>
  <c r="B19" i="95"/>
  <c r="T18" i="95"/>
  <c r="P18" i="95"/>
  <c r="X18" i="95" s="1"/>
  <c r="Z18" i="95" s="1"/>
  <c r="H18" i="95"/>
  <c r="D18" i="95"/>
  <c r="L18" i="95" s="1"/>
  <c r="N18" i="95" s="1"/>
  <c r="Z16" i="95"/>
  <c r="X16" i="95"/>
  <c r="P16" i="95"/>
  <c r="N16" i="95"/>
  <c r="D16" i="95"/>
  <c r="L16" i="95" s="1"/>
  <c r="B16" i="95"/>
  <c r="X15" i="95"/>
  <c r="Z15" i="95" s="1"/>
  <c r="P15" i="95"/>
  <c r="L15" i="95"/>
  <c r="N15" i="95" s="1"/>
  <c r="D15" i="95"/>
  <c r="B15" i="95"/>
  <c r="Z14" i="95"/>
  <c r="P14" i="95"/>
  <c r="X14" i="95" s="1"/>
  <c r="N14" i="95"/>
  <c r="L14" i="95"/>
  <c r="D14" i="95"/>
  <c r="B14" i="95"/>
  <c r="P13" i="95"/>
  <c r="L13" i="95"/>
  <c r="N13" i="95" s="1"/>
  <c r="D13" i="95"/>
  <c r="B13" i="95"/>
  <c r="T12" i="95"/>
  <c r="V71" i="95" s="1"/>
  <c r="H12" i="95"/>
  <c r="J78" i="95" s="1"/>
  <c r="D6" i="95"/>
  <c r="D4" i="95"/>
  <c r="V82" i="94"/>
  <c r="J82" i="94"/>
  <c r="V79" i="94"/>
  <c r="Z77" i="94"/>
  <c r="X77" i="94"/>
  <c r="V77" i="94"/>
  <c r="N77" i="94"/>
  <c r="L77" i="94"/>
  <c r="V75" i="94"/>
  <c r="J75" i="94"/>
  <c r="X73" i="94"/>
  <c r="T73" i="94"/>
  <c r="Z73" i="94" s="1"/>
  <c r="P73" i="94"/>
  <c r="N73" i="94"/>
  <c r="L73" i="94"/>
  <c r="J73" i="94"/>
  <c r="H73" i="94"/>
  <c r="D73" i="94"/>
  <c r="Z71" i="94"/>
  <c r="X71" i="94"/>
  <c r="V71" i="94"/>
  <c r="N71" i="94"/>
  <c r="L71" i="94"/>
  <c r="B71" i="94"/>
  <c r="X70" i="94"/>
  <c r="T70" i="94"/>
  <c r="Z70" i="94" s="1"/>
  <c r="P70" i="94"/>
  <c r="N70" i="94"/>
  <c r="H70" i="94"/>
  <c r="D70" i="94"/>
  <c r="L70" i="94" s="1"/>
  <c r="B70" i="94"/>
  <c r="Z69" i="94"/>
  <c r="X69" i="94"/>
  <c r="V69" i="94"/>
  <c r="N69" i="94"/>
  <c r="L69" i="94"/>
  <c r="B69" i="94"/>
  <c r="T68" i="94"/>
  <c r="Z68" i="94" s="1"/>
  <c r="P68" i="94"/>
  <c r="X68" i="94" s="1"/>
  <c r="N68" i="94"/>
  <c r="L68" i="94"/>
  <c r="J68" i="94"/>
  <c r="H68" i="94"/>
  <c r="D68" i="94"/>
  <c r="B68" i="94"/>
  <c r="Z67" i="94"/>
  <c r="X67" i="94"/>
  <c r="V67" i="94"/>
  <c r="N67" i="94"/>
  <c r="L67" i="94"/>
  <c r="B67" i="94"/>
  <c r="X66" i="94"/>
  <c r="V66" i="94"/>
  <c r="T66" i="94"/>
  <c r="Z66" i="94" s="1"/>
  <c r="P66" i="94"/>
  <c r="H66" i="94"/>
  <c r="N66" i="94" s="1"/>
  <c r="D66" i="94"/>
  <c r="B66" i="94"/>
  <c r="Z65" i="94"/>
  <c r="X65" i="94"/>
  <c r="V65" i="94"/>
  <c r="N65" i="94"/>
  <c r="L65" i="94"/>
  <c r="B65" i="94"/>
  <c r="Z64" i="94"/>
  <c r="X64" i="94"/>
  <c r="N64" i="94"/>
  <c r="L64" i="94"/>
  <c r="B64" i="94"/>
  <c r="Z63" i="94"/>
  <c r="X63" i="94"/>
  <c r="N63" i="94"/>
  <c r="L63" i="94"/>
  <c r="B63" i="94"/>
  <c r="V62" i="94"/>
  <c r="T62" i="94"/>
  <c r="Z62" i="94" s="1"/>
  <c r="P62" i="94"/>
  <c r="X62" i="94" s="1"/>
  <c r="H62" i="94"/>
  <c r="N62" i="94" s="1"/>
  <c r="D62" i="94"/>
  <c r="B62" i="94"/>
  <c r="Z61" i="94"/>
  <c r="X61" i="94"/>
  <c r="V61" i="94"/>
  <c r="N61" i="94"/>
  <c r="L61" i="94"/>
  <c r="B61" i="94"/>
  <c r="T60" i="94"/>
  <c r="Z60" i="94" s="1"/>
  <c r="P60" i="94"/>
  <c r="X60" i="94" s="1"/>
  <c r="N60" i="94"/>
  <c r="L60" i="94"/>
  <c r="H60" i="94"/>
  <c r="D60" i="94"/>
  <c r="B60" i="94"/>
  <c r="Z59" i="94"/>
  <c r="X59" i="94"/>
  <c r="V59" i="94"/>
  <c r="N59" i="94"/>
  <c r="L59" i="94"/>
  <c r="B59" i="94"/>
  <c r="Z58" i="94"/>
  <c r="V58" i="94"/>
  <c r="T58" i="94"/>
  <c r="P58" i="94"/>
  <c r="X58" i="94" s="1"/>
  <c r="N58" i="94"/>
  <c r="H58" i="94"/>
  <c r="D58" i="94"/>
  <c r="L58" i="94" s="1"/>
  <c r="B58" i="94"/>
  <c r="Z57" i="94"/>
  <c r="X57" i="94"/>
  <c r="V57" i="94"/>
  <c r="N57" i="94"/>
  <c r="L57" i="94"/>
  <c r="J57" i="94"/>
  <c r="B57" i="94"/>
  <c r="Z56" i="94"/>
  <c r="X56" i="94"/>
  <c r="V56" i="94"/>
  <c r="T56" i="94"/>
  <c r="P56" i="94"/>
  <c r="L56" i="94"/>
  <c r="H56" i="94"/>
  <c r="N56" i="94" s="1"/>
  <c r="D56" i="94"/>
  <c r="B56" i="94"/>
  <c r="Z55" i="94"/>
  <c r="X55" i="94"/>
  <c r="V55" i="94"/>
  <c r="N55" i="94"/>
  <c r="L55" i="94"/>
  <c r="J55" i="94"/>
  <c r="B55" i="94"/>
  <c r="Z54" i="94"/>
  <c r="V54" i="94"/>
  <c r="T54" i="94"/>
  <c r="P54" i="94"/>
  <c r="X54" i="94" s="1"/>
  <c r="L54" i="94"/>
  <c r="H54" i="94"/>
  <c r="N54" i="94" s="1"/>
  <c r="D54" i="94"/>
  <c r="B54" i="94"/>
  <c r="Z53" i="94"/>
  <c r="X53" i="94"/>
  <c r="V53" i="94"/>
  <c r="N53" i="94"/>
  <c r="L53" i="94"/>
  <c r="B53" i="94"/>
  <c r="V52" i="94"/>
  <c r="T52" i="94"/>
  <c r="Z52" i="94" s="1"/>
  <c r="P52" i="94"/>
  <c r="L52" i="94"/>
  <c r="H52" i="94"/>
  <c r="N52" i="94" s="1"/>
  <c r="D52" i="94"/>
  <c r="B52" i="94"/>
  <c r="Z51" i="94"/>
  <c r="X51" i="94"/>
  <c r="V51" i="94"/>
  <c r="N51" i="94"/>
  <c r="L51" i="94"/>
  <c r="B51" i="94"/>
  <c r="Z50" i="94"/>
  <c r="V50" i="94"/>
  <c r="T50" i="94"/>
  <c r="P50" i="94"/>
  <c r="X50" i="94" s="1"/>
  <c r="H50" i="94"/>
  <c r="N50" i="94" s="1"/>
  <c r="D50" i="94"/>
  <c r="B50" i="94"/>
  <c r="X49" i="94"/>
  <c r="Z49" i="94" s="1"/>
  <c r="V49" i="94"/>
  <c r="L49" i="94"/>
  <c r="N49" i="94" s="1"/>
  <c r="B49" i="94"/>
  <c r="Z48" i="94"/>
  <c r="X48" i="94"/>
  <c r="V48" i="94"/>
  <c r="T48" i="94"/>
  <c r="P48" i="94"/>
  <c r="J48" i="94"/>
  <c r="H48" i="94"/>
  <c r="N48" i="94" s="1"/>
  <c r="D48" i="94"/>
  <c r="L48" i="94" s="1"/>
  <c r="B48" i="94"/>
  <c r="Z47" i="94"/>
  <c r="X47" i="94"/>
  <c r="V47" i="94"/>
  <c r="N47" i="94"/>
  <c r="L47" i="94"/>
  <c r="B47" i="94"/>
  <c r="X46" i="94"/>
  <c r="V46" i="94"/>
  <c r="T46" i="94"/>
  <c r="Z46" i="94" s="1"/>
  <c r="P46" i="94"/>
  <c r="N46" i="94"/>
  <c r="J46" i="94"/>
  <c r="H46" i="94"/>
  <c r="D46" i="94"/>
  <c r="L46" i="94" s="1"/>
  <c r="B46" i="94"/>
  <c r="Z45" i="94"/>
  <c r="X45" i="94"/>
  <c r="V45" i="94"/>
  <c r="N45" i="94"/>
  <c r="L45" i="94"/>
  <c r="B45" i="94"/>
  <c r="X44" i="94"/>
  <c r="T44" i="94"/>
  <c r="Z44" i="94" s="1"/>
  <c r="P44" i="94"/>
  <c r="N44" i="94"/>
  <c r="J44" i="94"/>
  <c r="H44" i="94"/>
  <c r="D44" i="94"/>
  <c r="L44" i="94" s="1"/>
  <c r="B44" i="94"/>
  <c r="Z43" i="94"/>
  <c r="X43" i="94"/>
  <c r="V43" i="94"/>
  <c r="N43" i="94"/>
  <c r="L43" i="94"/>
  <c r="B43" i="94"/>
  <c r="Z42" i="94"/>
  <c r="X42" i="94"/>
  <c r="V42" i="94"/>
  <c r="N42" i="94"/>
  <c r="L42" i="94"/>
  <c r="J42" i="94"/>
  <c r="B42" i="94"/>
  <c r="Z41" i="94"/>
  <c r="X41" i="94"/>
  <c r="V41" i="94"/>
  <c r="N41" i="94"/>
  <c r="L41" i="94"/>
  <c r="B41" i="94"/>
  <c r="Z40" i="94"/>
  <c r="X40" i="94"/>
  <c r="V40" i="94"/>
  <c r="N40" i="94"/>
  <c r="L40" i="94"/>
  <c r="J40" i="94"/>
  <c r="B40" i="94"/>
  <c r="Z39" i="94"/>
  <c r="X39" i="94"/>
  <c r="V39" i="94"/>
  <c r="N39" i="94"/>
  <c r="L39" i="94"/>
  <c r="B39" i="94"/>
  <c r="Z38" i="94"/>
  <c r="X38" i="94"/>
  <c r="V38" i="94"/>
  <c r="N38" i="94"/>
  <c r="L38" i="94"/>
  <c r="B38" i="94"/>
  <c r="Z37" i="94"/>
  <c r="X37" i="94"/>
  <c r="V37" i="94"/>
  <c r="N37" i="94"/>
  <c r="L37" i="94"/>
  <c r="J37" i="94"/>
  <c r="B37" i="94"/>
  <c r="Z36" i="94"/>
  <c r="X36" i="94"/>
  <c r="V36" i="94"/>
  <c r="N36" i="94"/>
  <c r="L36" i="94"/>
  <c r="J36" i="94"/>
  <c r="B36" i="94"/>
  <c r="Z35" i="94"/>
  <c r="X35" i="94"/>
  <c r="V35" i="94"/>
  <c r="N35" i="94"/>
  <c r="L35" i="94"/>
  <c r="B35" i="94"/>
  <c r="Z34" i="94"/>
  <c r="X34" i="94"/>
  <c r="V34" i="94"/>
  <c r="N34" i="94"/>
  <c r="L34" i="94"/>
  <c r="B34" i="94"/>
  <c r="X33" i="94"/>
  <c r="V33" i="94"/>
  <c r="T33" i="94"/>
  <c r="Z33" i="94" s="1"/>
  <c r="P33" i="94"/>
  <c r="N33" i="94"/>
  <c r="J33" i="94"/>
  <c r="H33" i="94"/>
  <c r="D33" i="94"/>
  <c r="L33" i="94" s="1"/>
  <c r="B33" i="94"/>
  <c r="Z32" i="94"/>
  <c r="X32" i="94"/>
  <c r="V32" i="94"/>
  <c r="N32" i="94"/>
  <c r="L32" i="94"/>
  <c r="B32" i="94"/>
  <c r="Z31" i="94"/>
  <c r="X31" i="94"/>
  <c r="V31" i="94"/>
  <c r="N31" i="94"/>
  <c r="L31" i="94"/>
  <c r="B31" i="94"/>
  <c r="Z30" i="94"/>
  <c r="X30" i="94"/>
  <c r="V30" i="94"/>
  <c r="N30" i="94"/>
  <c r="L30" i="94"/>
  <c r="J30" i="94"/>
  <c r="B30" i="94"/>
  <c r="Z29" i="94"/>
  <c r="X29" i="94"/>
  <c r="V29" i="94"/>
  <c r="N29" i="94"/>
  <c r="L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B27" i="94"/>
  <c r="Z26" i="94"/>
  <c r="X26" i="94"/>
  <c r="V26" i="94"/>
  <c r="N26" i="94"/>
  <c r="L26" i="94"/>
  <c r="B26" i="94"/>
  <c r="Z25" i="94"/>
  <c r="X25" i="94"/>
  <c r="V25" i="94"/>
  <c r="N25" i="94"/>
  <c r="L25" i="94"/>
  <c r="J25" i="94"/>
  <c r="B25" i="94"/>
  <c r="Z24" i="94"/>
  <c r="X24" i="94"/>
  <c r="V24" i="94"/>
  <c r="N24" i="94"/>
  <c r="L24" i="94"/>
  <c r="B24" i="94"/>
  <c r="V23" i="94"/>
  <c r="T23" i="94"/>
  <c r="X23" i="94" s="1"/>
  <c r="P23" i="94"/>
  <c r="N23" i="94"/>
  <c r="L23" i="94"/>
  <c r="J23" i="94"/>
  <c r="H23" i="94"/>
  <c r="D23" i="94"/>
  <c r="B23" i="94"/>
  <c r="V22" i="94"/>
  <c r="T22" i="94"/>
  <c r="P22" i="94"/>
  <c r="H22" i="94"/>
  <c r="D22" i="94"/>
  <c r="L22" i="94" s="1"/>
  <c r="Z20" i="94"/>
  <c r="V20" i="94"/>
  <c r="T20" i="94"/>
  <c r="Z18" i="94"/>
  <c r="X18" i="94"/>
  <c r="V18" i="94"/>
  <c r="N18" i="94"/>
  <c r="L18" i="94"/>
  <c r="J18" i="94"/>
  <c r="B18" i="94"/>
  <c r="V17" i="94"/>
  <c r="T17" i="94"/>
  <c r="Z17" i="94" s="1"/>
  <c r="P17" i="94"/>
  <c r="X17" i="94" s="1"/>
  <c r="J17" i="94"/>
  <c r="H17" i="94"/>
  <c r="N17" i="94" s="1"/>
  <c r="D17" i="94"/>
  <c r="Z15" i="94"/>
  <c r="P15" i="94"/>
  <c r="X15" i="94" s="1"/>
  <c r="N15" i="94"/>
  <c r="D15" i="94"/>
  <c r="L15" i="94" s="1"/>
  <c r="B15" i="94"/>
  <c r="Z14" i="94"/>
  <c r="P14" i="94"/>
  <c r="X14" i="94" s="1"/>
  <c r="N14" i="94"/>
  <c r="D14" i="94"/>
  <c r="L14" i="94" s="1"/>
  <c r="B14" i="94"/>
  <c r="Z13" i="94"/>
  <c r="X13" i="94"/>
  <c r="P13" i="94"/>
  <c r="N13" i="94"/>
  <c r="D13" i="94"/>
  <c r="D12" i="94" s="1"/>
  <c r="F50" i="94" s="1"/>
  <c r="B13" i="94"/>
  <c r="Z12" i="94"/>
  <c r="T12" i="94"/>
  <c r="V73" i="94" s="1"/>
  <c r="P12" i="94"/>
  <c r="R53" i="94" s="1"/>
  <c r="N12" i="94"/>
  <c r="H12" i="94"/>
  <c r="J58" i="94" s="1"/>
  <c r="D6" i="94"/>
  <c r="D4" i="94"/>
  <c r="F78" i="93"/>
  <c r="Z76" i="93"/>
  <c r="X76" i="93"/>
  <c r="N76" i="93"/>
  <c r="L76" i="93"/>
  <c r="Z72" i="93"/>
  <c r="T72" i="93"/>
  <c r="P72" i="93"/>
  <c r="X72" i="93" s="1"/>
  <c r="N72" i="93"/>
  <c r="H72" i="93"/>
  <c r="F72" i="93"/>
  <c r="D72" i="93"/>
  <c r="L72" i="93" s="1"/>
  <c r="Z70" i="93"/>
  <c r="X70" i="93"/>
  <c r="N70" i="93"/>
  <c r="L70" i="93"/>
  <c r="F70" i="93"/>
  <c r="B70" i="93"/>
  <c r="Z69" i="93"/>
  <c r="X69" i="93"/>
  <c r="N69" i="93"/>
  <c r="L69" i="93"/>
  <c r="B69" i="93"/>
  <c r="Z68" i="93"/>
  <c r="T68" i="93"/>
  <c r="P68" i="93"/>
  <c r="X68" i="93" s="1"/>
  <c r="N68" i="93"/>
  <c r="H68" i="93"/>
  <c r="D68" i="93"/>
  <c r="L68" i="93" s="1"/>
  <c r="B68" i="93"/>
  <c r="Z67" i="93"/>
  <c r="X67" i="93"/>
  <c r="N67" i="93"/>
  <c r="L67" i="93"/>
  <c r="F67" i="93"/>
  <c r="B67" i="93"/>
  <c r="Z66" i="93"/>
  <c r="X66" i="93"/>
  <c r="N66" i="93"/>
  <c r="L66" i="93"/>
  <c r="F66" i="93"/>
  <c r="B66" i="93"/>
  <c r="Z65" i="93"/>
  <c r="X65" i="93"/>
  <c r="N65" i="93"/>
  <c r="L65" i="93"/>
  <c r="B65" i="93"/>
  <c r="Z64" i="93"/>
  <c r="X64" i="93"/>
  <c r="N64" i="93"/>
  <c r="L64" i="93"/>
  <c r="B64" i="93"/>
  <c r="Z63" i="93"/>
  <c r="X63" i="93"/>
  <c r="N63" i="93"/>
  <c r="L63" i="93"/>
  <c r="B63" i="93"/>
  <c r="Z62" i="93"/>
  <c r="X62" i="93"/>
  <c r="N62" i="93"/>
  <c r="L62" i="93"/>
  <c r="B62" i="93"/>
  <c r="Z61" i="93"/>
  <c r="X61" i="93"/>
  <c r="N61" i="93"/>
  <c r="L61" i="93"/>
  <c r="B61" i="93"/>
  <c r="Z60" i="93"/>
  <c r="X60" i="93"/>
  <c r="N60" i="93"/>
  <c r="L60" i="93"/>
  <c r="B60" i="93"/>
  <c r="T59" i="93"/>
  <c r="Z59" i="93" s="1"/>
  <c r="P59" i="93"/>
  <c r="L59" i="93"/>
  <c r="H59" i="93"/>
  <c r="N59" i="93" s="1"/>
  <c r="F59" i="93"/>
  <c r="D59" i="93"/>
  <c r="B59" i="93"/>
  <c r="Z58" i="93"/>
  <c r="X58" i="93"/>
  <c r="N58" i="93"/>
  <c r="L58" i="93"/>
  <c r="F58" i="93"/>
  <c r="B58" i="93"/>
  <c r="Z57" i="93"/>
  <c r="X57" i="93"/>
  <c r="N57" i="93"/>
  <c r="L57" i="93"/>
  <c r="F57" i="93"/>
  <c r="B57" i="93"/>
  <c r="X56" i="93"/>
  <c r="T56" i="93"/>
  <c r="Z56" i="93" s="1"/>
  <c r="P56" i="93"/>
  <c r="H56" i="93"/>
  <c r="N56" i="93" s="1"/>
  <c r="F56" i="93"/>
  <c r="D56" i="93"/>
  <c r="L56" i="93" s="1"/>
  <c r="B56" i="93"/>
  <c r="Z55" i="93"/>
  <c r="X55" i="93"/>
  <c r="N55" i="93"/>
  <c r="L55" i="93"/>
  <c r="B55" i="93"/>
  <c r="Z54" i="93"/>
  <c r="X54" i="93"/>
  <c r="N54" i="93"/>
  <c r="L54" i="93"/>
  <c r="F54" i="93"/>
  <c r="B54" i="93"/>
  <c r="T53" i="93"/>
  <c r="X53" i="93" s="1"/>
  <c r="P53" i="93"/>
  <c r="L53" i="93"/>
  <c r="H53" i="93"/>
  <c r="N53" i="93" s="1"/>
  <c r="F53" i="93"/>
  <c r="D53" i="93"/>
  <c r="B53" i="93"/>
  <c r="Z52" i="93"/>
  <c r="X52" i="93"/>
  <c r="N52" i="93"/>
  <c r="L52" i="93"/>
  <c r="F52" i="93"/>
  <c r="B52" i="93"/>
  <c r="Z51" i="93"/>
  <c r="T51" i="93"/>
  <c r="P51" i="93"/>
  <c r="X51" i="93" s="1"/>
  <c r="N51" i="93"/>
  <c r="H51" i="93"/>
  <c r="F51" i="93"/>
  <c r="D51" i="93"/>
  <c r="L51" i="93" s="1"/>
  <c r="B51" i="93"/>
  <c r="X50" i="93"/>
  <c r="Z50" i="93" s="1"/>
  <c r="L50" i="93"/>
  <c r="N50" i="93" s="1"/>
  <c r="F50" i="93"/>
  <c r="B50" i="93"/>
  <c r="X49" i="93"/>
  <c r="Z49" i="93" s="1"/>
  <c r="T49" i="93"/>
  <c r="P49" i="93"/>
  <c r="H49" i="93"/>
  <c r="L49" i="93" s="1"/>
  <c r="F49" i="93"/>
  <c r="D49" i="93"/>
  <c r="B49" i="93"/>
  <c r="Z48" i="93"/>
  <c r="X48" i="93"/>
  <c r="N48" i="93"/>
  <c r="L48" i="93"/>
  <c r="B48" i="93"/>
  <c r="Z47" i="93"/>
  <c r="X47" i="93"/>
  <c r="T47" i="93"/>
  <c r="P47" i="93"/>
  <c r="N47" i="93"/>
  <c r="L47" i="93"/>
  <c r="H47" i="93"/>
  <c r="D47" i="93"/>
  <c r="B47" i="93"/>
  <c r="Z46" i="93"/>
  <c r="X46" i="93"/>
  <c r="N46" i="93"/>
  <c r="L46" i="93"/>
  <c r="F46" i="93"/>
  <c r="B46" i="93"/>
  <c r="X45" i="93"/>
  <c r="T45" i="93"/>
  <c r="Z45" i="93" s="1"/>
  <c r="P45" i="93"/>
  <c r="N45" i="93"/>
  <c r="H45" i="93"/>
  <c r="F45" i="93"/>
  <c r="D45" i="93"/>
  <c r="L45" i="93" s="1"/>
  <c r="B45" i="93"/>
  <c r="Z44" i="93"/>
  <c r="X44" i="93"/>
  <c r="N44" i="93"/>
  <c r="L44" i="93"/>
  <c r="F44" i="93"/>
  <c r="B44" i="93"/>
  <c r="Z43" i="93"/>
  <c r="X43" i="93"/>
  <c r="T43" i="93"/>
  <c r="P43" i="93"/>
  <c r="N43" i="93"/>
  <c r="H43" i="93"/>
  <c r="F43" i="93"/>
  <c r="D43" i="93"/>
  <c r="L43" i="93" s="1"/>
  <c r="B43" i="93"/>
  <c r="Z42" i="93"/>
  <c r="X42" i="93"/>
  <c r="N42" i="93"/>
  <c r="L42" i="93"/>
  <c r="B42" i="93"/>
  <c r="Z41" i="93"/>
  <c r="X41" i="93"/>
  <c r="N41" i="93"/>
  <c r="L41" i="93"/>
  <c r="F41" i="93"/>
  <c r="B41" i="93"/>
  <c r="Z40" i="93"/>
  <c r="X40" i="93"/>
  <c r="N40" i="93"/>
  <c r="L40" i="93"/>
  <c r="F40" i="93"/>
  <c r="B40" i="93"/>
  <c r="Z39" i="93"/>
  <c r="X39" i="93"/>
  <c r="N39" i="93"/>
  <c r="L39" i="93"/>
  <c r="F39" i="93"/>
  <c r="B39" i="93"/>
  <c r="Z38" i="93"/>
  <c r="X38" i="93"/>
  <c r="N38" i="93"/>
  <c r="L38" i="93"/>
  <c r="B38" i="93"/>
  <c r="Z37" i="93"/>
  <c r="X37" i="93"/>
  <c r="N37" i="93"/>
  <c r="L37" i="93"/>
  <c r="F37" i="93"/>
  <c r="B37" i="93"/>
  <c r="Z36" i="93"/>
  <c r="X36" i="93"/>
  <c r="N36" i="93"/>
  <c r="L36" i="93"/>
  <c r="F36" i="93"/>
  <c r="B36" i="93"/>
  <c r="Z35" i="93"/>
  <c r="X35" i="93"/>
  <c r="N35" i="93"/>
  <c r="L35" i="93"/>
  <c r="F35" i="93"/>
  <c r="B35" i="93"/>
  <c r="Z34" i="93"/>
  <c r="X34" i="93"/>
  <c r="N34" i="93"/>
  <c r="L34" i="93"/>
  <c r="B34" i="93"/>
  <c r="Z33" i="93"/>
  <c r="X33" i="93"/>
  <c r="N33" i="93"/>
  <c r="L33" i="93"/>
  <c r="F33" i="93"/>
  <c r="B33" i="93"/>
  <c r="Z32" i="93"/>
  <c r="T32" i="93"/>
  <c r="P32" i="93"/>
  <c r="X32" i="93" s="1"/>
  <c r="N32" i="93"/>
  <c r="H32" i="93"/>
  <c r="F32" i="93"/>
  <c r="D32" i="93"/>
  <c r="L32" i="93" s="1"/>
  <c r="B32" i="93"/>
  <c r="Z31" i="93"/>
  <c r="X31" i="93"/>
  <c r="N31" i="93"/>
  <c r="L31" i="93"/>
  <c r="B31" i="93"/>
  <c r="Z30" i="93"/>
  <c r="X30" i="93"/>
  <c r="N30" i="93"/>
  <c r="L30" i="93"/>
  <c r="B30" i="93"/>
  <c r="Z29" i="93"/>
  <c r="X29" i="93"/>
  <c r="N29" i="93"/>
  <c r="L29" i="93"/>
  <c r="B29" i="93"/>
  <c r="Z28" i="93"/>
  <c r="X28" i="93"/>
  <c r="V28" i="93"/>
  <c r="N28" i="93"/>
  <c r="L28" i="93"/>
  <c r="F28" i="93"/>
  <c r="B28" i="93"/>
  <c r="Z27" i="93"/>
  <c r="X27" i="93"/>
  <c r="N27" i="93"/>
  <c r="L27" i="93"/>
  <c r="B27" i="93"/>
  <c r="Z26" i="93"/>
  <c r="X26" i="93"/>
  <c r="N26" i="93"/>
  <c r="L26" i="93"/>
  <c r="B26" i="93"/>
  <c r="Z25" i="93"/>
  <c r="X25" i="93"/>
  <c r="N25" i="93"/>
  <c r="L25" i="93"/>
  <c r="B25" i="93"/>
  <c r="Z24" i="93"/>
  <c r="X24" i="93"/>
  <c r="V24" i="93"/>
  <c r="N24" i="93"/>
  <c r="L24" i="93"/>
  <c r="F24" i="93"/>
  <c r="B24" i="93"/>
  <c r="Z23" i="93"/>
  <c r="X23" i="93"/>
  <c r="N23" i="93"/>
  <c r="L23" i="93"/>
  <c r="B23" i="93"/>
  <c r="Z22" i="93"/>
  <c r="X22" i="93"/>
  <c r="T22" i="93"/>
  <c r="P22" i="93"/>
  <c r="N22" i="93"/>
  <c r="H22" i="93"/>
  <c r="D22" i="93"/>
  <c r="L22" i="93" s="1"/>
  <c r="B22" i="93"/>
  <c r="T21" i="93"/>
  <c r="P21" i="93"/>
  <c r="X21" i="93" s="1"/>
  <c r="Z21" i="93" s="1"/>
  <c r="H21" i="93"/>
  <c r="D21" i="93"/>
  <c r="L21" i="93" s="1"/>
  <c r="N21" i="93" s="1"/>
  <c r="D19" i="93"/>
  <c r="D74" i="93" s="1"/>
  <c r="Z17" i="93"/>
  <c r="X17" i="93"/>
  <c r="N17" i="93"/>
  <c r="L17" i="93"/>
  <c r="F17" i="93"/>
  <c r="B17" i="93"/>
  <c r="V16" i="93"/>
  <c r="T16" i="93"/>
  <c r="X16" i="93" s="1"/>
  <c r="P16" i="93"/>
  <c r="L16" i="93"/>
  <c r="H16" i="93"/>
  <c r="N16" i="93" s="1"/>
  <c r="F16" i="93"/>
  <c r="D16" i="93"/>
  <c r="Z14" i="93"/>
  <c r="P14" i="93"/>
  <c r="X14" i="93" s="1"/>
  <c r="N14" i="93"/>
  <c r="L14" i="93"/>
  <c r="D14" i="93"/>
  <c r="B14" i="93"/>
  <c r="Z13" i="93"/>
  <c r="X13" i="93"/>
  <c r="P13" i="93"/>
  <c r="P12" i="93" s="1"/>
  <c r="N13" i="93"/>
  <c r="L13" i="93"/>
  <c r="D13" i="93"/>
  <c r="B13" i="93"/>
  <c r="Z12" i="93"/>
  <c r="T12" i="93"/>
  <c r="V67" i="93" s="1"/>
  <c r="H12" i="93"/>
  <c r="J67" i="93" s="1"/>
  <c r="D12" i="93"/>
  <c r="F60" i="93" s="1"/>
  <c r="D6" i="93"/>
  <c r="D4" i="93"/>
  <c r="F85" i="92"/>
  <c r="F82" i="92"/>
  <c r="Z80" i="92"/>
  <c r="X80" i="92"/>
  <c r="N80" i="92"/>
  <c r="L80" i="92"/>
  <c r="F80" i="92"/>
  <c r="Z76" i="92"/>
  <c r="T76" i="92"/>
  <c r="P76" i="92"/>
  <c r="X76" i="92" s="1"/>
  <c r="N76" i="92"/>
  <c r="L76" i="92"/>
  <c r="H76" i="92"/>
  <c r="D76" i="92"/>
  <c r="Z74" i="92"/>
  <c r="X74" i="92"/>
  <c r="N74" i="92"/>
  <c r="L74" i="92"/>
  <c r="F74" i="92"/>
  <c r="B74" i="92"/>
  <c r="T73" i="92"/>
  <c r="Z73" i="92" s="1"/>
  <c r="P73" i="92"/>
  <c r="X73" i="92" s="1"/>
  <c r="H73" i="92"/>
  <c r="N73" i="92" s="1"/>
  <c r="F73" i="92"/>
  <c r="D73" i="92"/>
  <c r="L73" i="92" s="1"/>
  <c r="B73" i="92"/>
  <c r="Z72" i="92"/>
  <c r="X72" i="92"/>
  <c r="N72" i="92"/>
  <c r="L72" i="92"/>
  <c r="B72" i="92"/>
  <c r="Z71" i="92"/>
  <c r="X71" i="92"/>
  <c r="N71" i="92"/>
  <c r="L71" i="92"/>
  <c r="F71" i="92"/>
  <c r="B71" i="92"/>
  <c r="T70" i="92"/>
  <c r="X70" i="92" s="1"/>
  <c r="P70" i="92"/>
  <c r="L70" i="92"/>
  <c r="H70" i="92"/>
  <c r="N70" i="92" s="1"/>
  <c r="F70" i="92"/>
  <c r="D70" i="92"/>
  <c r="B70" i="92"/>
  <c r="Z69" i="92"/>
  <c r="X69" i="92"/>
  <c r="N69" i="92"/>
  <c r="L69" i="92"/>
  <c r="F69" i="92"/>
  <c r="B69" i="92"/>
  <c r="Z68" i="92"/>
  <c r="X68" i="92"/>
  <c r="N68" i="92"/>
  <c r="L68" i="92"/>
  <c r="B68" i="92"/>
  <c r="Z67" i="92"/>
  <c r="X67" i="92"/>
  <c r="N67" i="92"/>
  <c r="L67" i="92"/>
  <c r="F67" i="92"/>
  <c r="B67" i="92"/>
  <c r="Z66" i="92"/>
  <c r="X66" i="92"/>
  <c r="N66" i="92"/>
  <c r="L66" i="92"/>
  <c r="B66" i="92"/>
  <c r="Z65" i="92"/>
  <c r="X65" i="92"/>
  <c r="N65" i="92"/>
  <c r="L65" i="92"/>
  <c r="F65" i="92"/>
  <c r="B65" i="92"/>
  <c r="Z64" i="92"/>
  <c r="T64" i="92"/>
  <c r="P64" i="92"/>
  <c r="X64" i="92" s="1"/>
  <c r="N64" i="92"/>
  <c r="H64" i="92"/>
  <c r="F64" i="92"/>
  <c r="D64" i="92"/>
  <c r="L64" i="92" s="1"/>
  <c r="B64" i="92"/>
  <c r="Z63" i="92"/>
  <c r="X63" i="92"/>
  <c r="N63" i="92"/>
  <c r="L63" i="92"/>
  <c r="B63" i="92"/>
  <c r="Z62" i="92"/>
  <c r="X62" i="92"/>
  <c r="N62" i="92"/>
  <c r="L62" i="92"/>
  <c r="F62" i="92"/>
  <c r="B62" i="92"/>
  <c r="Z61" i="92"/>
  <c r="X61" i="92"/>
  <c r="N61" i="92"/>
  <c r="L61" i="92"/>
  <c r="B61" i="92"/>
  <c r="Z60" i="92"/>
  <c r="X60" i="92"/>
  <c r="N60" i="92"/>
  <c r="L60" i="92"/>
  <c r="B60" i="92"/>
  <c r="T59" i="92"/>
  <c r="Z59" i="92" s="1"/>
  <c r="P59" i="92"/>
  <c r="X59" i="92" s="1"/>
  <c r="H59" i="92"/>
  <c r="N59" i="92" s="1"/>
  <c r="D59" i="92"/>
  <c r="L59" i="92" s="1"/>
  <c r="B59" i="92"/>
  <c r="Z58" i="92"/>
  <c r="X58" i="92"/>
  <c r="N58" i="92"/>
  <c r="L58" i="92"/>
  <c r="F58" i="92"/>
  <c r="B58" i="92"/>
  <c r="Z57" i="92"/>
  <c r="X57" i="92"/>
  <c r="T57" i="92"/>
  <c r="P57" i="92"/>
  <c r="N57" i="92"/>
  <c r="H57" i="92"/>
  <c r="F57" i="92"/>
  <c r="D57" i="92"/>
  <c r="L57" i="92" s="1"/>
  <c r="B57" i="92"/>
  <c r="Z56" i="92"/>
  <c r="X56" i="92"/>
  <c r="N56" i="92"/>
  <c r="L56" i="92"/>
  <c r="B56" i="92"/>
  <c r="Z55" i="92"/>
  <c r="X55" i="92"/>
  <c r="N55" i="92"/>
  <c r="L55" i="92"/>
  <c r="F55" i="92"/>
  <c r="B55" i="92"/>
  <c r="Z54" i="92"/>
  <c r="T54" i="92"/>
  <c r="P54" i="92"/>
  <c r="X54" i="92" s="1"/>
  <c r="N54" i="92"/>
  <c r="H54" i="92"/>
  <c r="F54" i="92"/>
  <c r="D54" i="92"/>
  <c r="L54" i="92" s="1"/>
  <c r="B54" i="92"/>
  <c r="Z53" i="92"/>
  <c r="X53" i="92"/>
  <c r="N53" i="92"/>
  <c r="L53" i="92"/>
  <c r="B53" i="92"/>
  <c r="Z52" i="92"/>
  <c r="X52" i="92"/>
  <c r="T52" i="92"/>
  <c r="P52" i="92"/>
  <c r="N52" i="92"/>
  <c r="H52" i="92"/>
  <c r="D52" i="92"/>
  <c r="L52" i="92" s="1"/>
  <c r="B52" i="92"/>
  <c r="Z51" i="92"/>
  <c r="X51" i="92"/>
  <c r="N51" i="92"/>
  <c r="L51" i="92"/>
  <c r="F51" i="92"/>
  <c r="B51" i="92"/>
  <c r="T50" i="92"/>
  <c r="X50" i="92" s="1"/>
  <c r="P50" i="92"/>
  <c r="L50" i="92"/>
  <c r="H50" i="92"/>
  <c r="N50" i="92" s="1"/>
  <c r="F50" i="92"/>
  <c r="D50" i="92"/>
  <c r="B50" i="92"/>
  <c r="Z49" i="92"/>
  <c r="X49" i="92"/>
  <c r="N49" i="92"/>
  <c r="L49" i="92"/>
  <c r="F49" i="92"/>
  <c r="B49" i="92"/>
  <c r="Z48" i="92"/>
  <c r="T48" i="92"/>
  <c r="P48" i="92"/>
  <c r="X48" i="92" s="1"/>
  <c r="N48" i="92"/>
  <c r="H48" i="92"/>
  <c r="F48" i="92"/>
  <c r="D48" i="92"/>
  <c r="L48" i="92" s="1"/>
  <c r="B48" i="92"/>
  <c r="Z47" i="92"/>
  <c r="X47" i="92"/>
  <c r="N47" i="92"/>
  <c r="L47" i="92"/>
  <c r="B47" i="92"/>
  <c r="Z46" i="92"/>
  <c r="X46" i="92"/>
  <c r="L46" i="92"/>
  <c r="N46" i="92" s="1"/>
  <c r="J46" i="92"/>
  <c r="F46" i="92"/>
  <c r="B46" i="92"/>
  <c r="T45" i="92"/>
  <c r="P45" i="92"/>
  <c r="H45" i="92"/>
  <c r="F45" i="92"/>
  <c r="D45" i="92"/>
  <c r="L45" i="92" s="1"/>
  <c r="B45" i="92"/>
  <c r="Z44" i="92"/>
  <c r="X44" i="92"/>
  <c r="N44" i="92"/>
  <c r="L44" i="92"/>
  <c r="B44" i="92"/>
  <c r="Z43" i="92"/>
  <c r="T43" i="92"/>
  <c r="P43" i="92"/>
  <c r="X43" i="92" s="1"/>
  <c r="N43" i="92"/>
  <c r="H43" i="92"/>
  <c r="D43" i="92"/>
  <c r="L43" i="92" s="1"/>
  <c r="B43" i="92"/>
  <c r="Z42" i="92"/>
  <c r="X42" i="92"/>
  <c r="N42" i="92"/>
  <c r="L42" i="92"/>
  <c r="J42" i="92"/>
  <c r="B42" i="92"/>
  <c r="X41" i="92"/>
  <c r="T41" i="92"/>
  <c r="Z41" i="92" s="1"/>
  <c r="P41" i="92"/>
  <c r="L41" i="92"/>
  <c r="H41" i="92"/>
  <c r="N41" i="92" s="1"/>
  <c r="D41" i="92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N38" i="92"/>
  <c r="L38" i="92"/>
  <c r="J38" i="92"/>
  <c r="F38" i="92"/>
  <c r="B38" i="92"/>
  <c r="Z37" i="92"/>
  <c r="X37" i="92"/>
  <c r="N37" i="92"/>
  <c r="L37" i="92"/>
  <c r="B37" i="92"/>
  <c r="Z36" i="92"/>
  <c r="X36" i="92"/>
  <c r="N36" i="92"/>
  <c r="L36" i="92"/>
  <c r="J36" i="92"/>
  <c r="B36" i="92"/>
  <c r="Z35" i="92"/>
  <c r="X35" i="92"/>
  <c r="N35" i="92"/>
  <c r="L35" i="92"/>
  <c r="B35" i="92"/>
  <c r="Z34" i="92"/>
  <c r="X34" i="92"/>
  <c r="N34" i="92"/>
  <c r="L34" i="92"/>
  <c r="J34" i="92"/>
  <c r="F34" i="92"/>
  <c r="B34" i="92"/>
  <c r="Z33" i="92"/>
  <c r="X33" i="92"/>
  <c r="N33" i="92"/>
  <c r="L33" i="92"/>
  <c r="B33" i="92"/>
  <c r="Z32" i="92"/>
  <c r="X32" i="92"/>
  <c r="N32" i="92"/>
  <c r="L32" i="92"/>
  <c r="B32" i="92"/>
  <c r="Z31" i="92"/>
  <c r="X31" i="92"/>
  <c r="N31" i="92"/>
  <c r="L31" i="92"/>
  <c r="B31" i="92"/>
  <c r="Z30" i="92"/>
  <c r="T30" i="92"/>
  <c r="P30" i="92"/>
  <c r="X30" i="92" s="1"/>
  <c r="N30" i="92"/>
  <c r="J30" i="92"/>
  <c r="H30" i="92"/>
  <c r="D30" i="92"/>
  <c r="L30" i="92" s="1"/>
  <c r="B30" i="92"/>
  <c r="Z29" i="92"/>
  <c r="X29" i="92"/>
  <c r="N29" i="92"/>
  <c r="L29" i="92"/>
  <c r="J29" i="92"/>
  <c r="F29" i="92"/>
  <c r="B29" i="92"/>
  <c r="Z28" i="92"/>
  <c r="X28" i="92"/>
  <c r="N28" i="92"/>
  <c r="L28" i="92"/>
  <c r="B28" i="92"/>
  <c r="Z27" i="92"/>
  <c r="X27" i="92"/>
  <c r="N27" i="92"/>
  <c r="L27" i="92"/>
  <c r="F27" i="92"/>
  <c r="B27" i="92"/>
  <c r="Z26" i="92"/>
  <c r="X26" i="92"/>
  <c r="N26" i="92"/>
  <c r="L26" i="92"/>
  <c r="F26" i="92"/>
  <c r="B26" i="92"/>
  <c r="Z25" i="92"/>
  <c r="X25" i="92"/>
  <c r="N25" i="92"/>
  <c r="L25" i="92"/>
  <c r="F25" i="92"/>
  <c r="B25" i="92"/>
  <c r="Z24" i="92"/>
  <c r="X24" i="92"/>
  <c r="N24" i="92"/>
  <c r="L24" i="92"/>
  <c r="B24" i="92"/>
  <c r="Z23" i="92"/>
  <c r="X23" i="92"/>
  <c r="N23" i="92"/>
  <c r="L23" i="92"/>
  <c r="F23" i="92"/>
  <c r="B23" i="92"/>
  <c r="Z22" i="92"/>
  <c r="X22" i="92"/>
  <c r="N22" i="92"/>
  <c r="L22" i="92"/>
  <c r="F22" i="92"/>
  <c r="B22" i="92"/>
  <c r="Z21" i="92"/>
  <c r="T21" i="92"/>
  <c r="P21" i="92"/>
  <c r="X21" i="92" s="1"/>
  <c r="N21" i="92"/>
  <c r="L21" i="92"/>
  <c r="H21" i="92"/>
  <c r="F21" i="92"/>
  <c r="D21" i="92"/>
  <c r="B21" i="92"/>
  <c r="Z20" i="92"/>
  <c r="T20" i="92"/>
  <c r="P20" i="92"/>
  <c r="X20" i="92" s="1"/>
  <c r="H20" i="92"/>
  <c r="F20" i="92"/>
  <c r="D20" i="92"/>
  <c r="H18" i="92"/>
  <c r="F18" i="92"/>
  <c r="Z16" i="92"/>
  <c r="X16" i="92"/>
  <c r="N16" i="92"/>
  <c r="L16" i="92"/>
  <c r="J16" i="92"/>
  <c r="B16" i="92"/>
  <c r="T15" i="92"/>
  <c r="X15" i="92" s="1"/>
  <c r="P15" i="92"/>
  <c r="L15" i="92"/>
  <c r="J15" i="92"/>
  <c r="H15" i="92"/>
  <c r="N15" i="92" s="1"/>
  <c r="D15" i="92"/>
  <c r="Z13" i="92"/>
  <c r="X13" i="92"/>
  <c r="P13" i="92"/>
  <c r="P12" i="92" s="1"/>
  <c r="R47" i="92" s="1"/>
  <c r="N13" i="92"/>
  <c r="L13" i="92"/>
  <c r="D13" i="92"/>
  <c r="B13" i="92"/>
  <c r="X12" i="92"/>
  <c r="T12" i="92"/>
  <c r="V46" i="92" s="1"/>
  <c r="H12" i="92"/>
  <c r="D12" i="92"/>
  <c r="F72" i="92" s="1"/>
  <c r="D6" i="92"/>
  <c r="D4" i="92"/>
  <c r="V85" i="91"/>
  <c r="V82" i="91"/>
  <c r="Z80" i="91"/>
  <c r="X80" i="91"/>
  <c r="V80" i="91"/>
  <c r="N80" i="91"/>
  <c r="L80" i="91"/>
  <c r="V78" i="91"/>
  <c r="Z76" i="91"/>
  <c r="X76" i="91"/>
  <c r="V76" i="91"/>
  <c r="P76" i="91"/>
  <c r="N76" i="91"/>
  <c r="L76" i="91"/>
  <c r="D76" i="91"/>
  <c r="B76" i="91"/>
  <c r="Z75" i="91"/>
  <c r="X75" i="91"/>
  <c r="V75" i="91"/>
  <c r="P75" i="91"/>
  <c r="N75" i="91"/>
  <c r="D75" i="91"/>
  <c r="B75" i="91"/>
  <c r="X74" i="91"/>
  <c r="V74" i="91"/>
  <c r="T74" i="91"/>
  <c r="Z74" i="91" s="1"/>
  <c r="P74" i="91"/>
  <c r="H74" i="91"/>
  <c r="N74" i="91" s="1"/>
  <c r="X72" i="91"/>
  <c r="Z72" i="91" s="1"/>
  <c r="V72" i="91"/>
  <c r="N72" i="91"/>
  <c r="L72" i="91"/>
  <c r="B72" i="91"/>
  <c r="Z71" i="91"/>
  <c r="X71" i="91"/>
  <c r="T71" i="91"/>
  <c r="P71" i="91"/>
  <c r="H71" i="91"/>
  <c r="D71" i="91"/>
  <c r="L71" i="91" s="1"/>
  <c r="N71" i="91" s="1"/>
  <c r="B71" i="91"/>
  <c r="Z70" i="91"/>
  <c r="X70" i="91"/>
  <c r="N70" i="91"/>
  <c r="L70" i="91"/>
  <c r="B70" i="91"/>
  <c r="V69" i="91"/>
  <c r="T69" i="91"/>
  <c r="Z69" i="91" s="1"/>
  <c r="P69" i="91"/>
  <c r="N69" i="91"/>
  <c r="H69" i="91"/>
  <c r="L69" i="91" s="1"/>
  <c r="D69" i="91"/>
  <c r="B69" i="91"/>
  <c r="X68" i="91"/>
  <c r="Z68" i="91" s="1"/>
  <c r="V68" i="91"/>
  <c r="L68" i="91"/>
  <c r="N68" i="91" s="1"/>
  <c r="B68" i="91"/>
  <c r="V67" i="91"/>
  <c r="T67" i="91"/>
  <c r="P67" i="91"/>
  <c r="H67" i="91"/>
  <c r="D67" i="91"/>
  <c r="B67" i="91"/>
  <c r="Z66" i="91"/>
  <c r="X66" i="91"/>
  <c r="V66" i="91"/>
  <c r="N66" i="91"/>
  <c r="L66" i="91"/>
  <c r="B66" i="91"/>
  <c r="Z65" i="91"/>
  <c r="X65" i="91"/>
  <c r="V65" i="91"/>
  <c r="N65" i="91"/>
  <c r="L65" i="91"/>
  <c r="B65" i="91"/>
  <c r="Z64" i="91"/>
  <c r="X64" i="91"/>
  <c r="V64" i="91"/>
  <c r="N64" i="91"/>
  <c r="L64" i="91"/>
  <c r="B64" i="91"/>
  <c r="Z63" i="91"/>
  <c r="X63" i="91"/>
  <c r="N63" i="91"/>
  <c r="L63" i="91"/>
  <c r="B63" i="91"/>
  <c r="Z62" i="91"/>
  <c r="X62" i="91"/>
  <c r="V62" i="91"/>
  <c r="N62" i="91"/>
  <c r="L62" i="91"/>
  <c r="B62" i="91"/>
  <c r="Z61" i="91"/>
  <c r="X61" i="91"/>
  <c r="V61" i="91"/>
  <c r="N61" i="91"/>
  <c r="L61" i="91"/>
  <c r="B61" i="91"/>
  <c r="Z60" i="91"/>
  <c r="X60" i="91"/>
  <c r="V60" i="91"/>
  <c r="N60" i="91"/>
  <c r="L60" i="91"/>
  <c r="B60" i="91"/>
  <c r="Z59" i="91"/>
  <c r="X59" i="91"/>
  <c r="T59" i="91"/>
  <c r="P59" i="91"/>
  <c r="N59" i="91"/>
  <c r="H59" i="91"/>
  <c r="D59" i="91"/>
  <c r="L59" i="91" s="1"/>
  <c r="B59" i="91"/>
  <c r="Z58" i="91"/>
  <c r="X58" i="91"/>
  <c r="N58" i="91"/>
  <c r="L58" i="91"/>
  <c r="B58" i="91"/>
  <c r="X57" i="91"/>
  <c r="Z57" i="91" s="1"/>
  <c r="V57" i="91"/>
  <c r="L57" i="91"/>
  <c r="N57" i="91" s="1"/>
  <c r="B57" i="91"/>
  <c r="Z56" i="91"/>
  <c r="X56" i="91"/>
  <c r="N56" i="91"/>
  <c r="L56" i="91"/>
  <c r="B56" i="91"/>
  <c r="X55" i="91"/>
  <c r="Z55" i="91" s="1"/>
  <c r="V55" i="91"/>
  <c r="N55" i="91"/>
  <c r="L55" i="91"/>
  <c r="B55" i="91"/>
  <c r="T54" i="91"/>
  <c r="P54" i="91"/>
  <c r="H54" i="91"/>
  <c r="D54" i="91"/>
  <c r="L54" i="91" s="1"/>
  <c r="N54" i="91" s="1"/>
  <c r="B54" i="91"/>
  <c r="Z53" i="91"/>
  <c r="X53" i="91"/>
  <c r="V53" i="91"/>
  <c r="N53" i="91"/>
  <c r="L53" i="91"/>
  <c r="B53" i="91"/>
  <c r="Z52" i="91"/>
  <c r="X52" i="91"/>
  <c r="V52" i="91"/>
  <c r="N52" i="91"/>
  <c r="L52" i="91"/>
  <c r="B52" i="91"/>
  <c r="V51" i="91"/>
  <c r="T51" i="91"/>
  <c r="Z51" i="91" s="1"/>
  <c r="P51" i="91"/>
  <c r="H51" i="91"/>
  <c r="N51" i="91" s="1"/>
  <c r="D51" i="91"/>
  <c r="L51" i="91" s="1"/>
  <c r="B51" i="91"/>
  <c r="X50" i="91"/>
  <c r="Z50" i="91" s="1"/>
  <c r="V50" i="91"/>
  <c r="N50" i="91"/>
  <c r="L50" i="91"/>
  <c r="B50" i="91"/>
  <c r="V49" i="91"/>
  <c r="T49" i="91"/>
  <c r="P49" i="91"/>
  <c r="X49" i="91" s="1"/>
  <c r="Z49" i="91" s="1"/>
  <c r="L49" i="91"/>
  <c r="N49" i="91" s="1"/>
  <c r="H49" i="91"/>
  <c r="D49" i="91"/>
  <c r="B49" i="91"/>
  <c r="Z48" i="91"/>
  <c r="X48" i="91"/>
  <c r="N48" i="91"/>
  <c r="L48" i="91"/>
  <c r="B48" i="91"/>
  <c r="Z47" i="91"/>
  <c r="X47" i="91"/>
  <c r="V47" i="91"/>
  <c r="T47" i="91"/>
  <c r="P47" i="91"/>
  <c r="H47" i="91"/>
  <c r="N47" i="91" s="1"/>
  <c r="D47" i="91"/>
  <c r="B47" i="91"/>
  <c r="Z46" i="91"/>
  <c r="X46" i="91"/>
  <c r="V46" i="91"/>
  <c r="L46" i="91"/>
  <c r="N46" i="91" s="1"/>
  <c r="B46" i="91"/>
  <c r="Z45" i="91"/>
  <c r="X45" i="91"/>
  <c r="V45" i="91"/>
  <c r="N45" i="91"/>
  <c r="L45" i="91"/>
  <c r="B45" i="91"/>
  <c r="X44" i="91"/>
  <c r="Z44" i="91" s="1"/>
  <c r="V44" i="91"/>
  <c r="T44" i="91"/>
  <c r="P44" i="91"/>
  <c r="N44" i="91"/>
  <c r="H44" i="91"/>
  <c r="D44" i="91"/>
  <c r="L44" i="91" s="1"/>
  <c r="B44" i="91"/>
  <c r="Z43" i="91"/>
  <c r="X43" i="91"/>
  <c r="N43" i="91"/>
  <c r="L43" i="91"/>
  <c r="B43" i="91"/>
  <c r="V42" i="91"/>
  <c r="T42" i="91"/>
  <c r="P42" i="91"/>
  <c r="L42" i="91"/>
  <c r="H42" i="91"/>
  <c r="N42" i="91" s="1"/>
  <c r="F42" i="91"/>
  <c r="D42" i="91"/>
  <c r="B42" i="91"/>
  <c r="Z41" i="91"/>
  <c r="X41" i="91"/>
  <c r="V41" i="91"/>
  <c r="N41" i="91"/>
  <c r="L41" i="91"/>
  <c r="B41" i="91"/>
  <c r="Z40" i="91"/>
  <c r="T40" i="91"/>
  <c r="P40" i="91"/>
  <c r="X40" i="91" s="1"/>
  <c r="H40" i="91"/>
  <c r="N40" i="91" s="1"/>
  <c r="D40" i="91"/>
  <c r="B40" i="91"/>
  <c r="Z39" i="91"/>
  <c r="X39" i="91"/>
  <c r="V39" i="91"/>
  <c r="N39" i="91"/>
  <c r="L39" i="91"/>
  <c r="B39" i="91"/>
  <c r="Z38" i="91"/>
  <c r="X38" i="91"/>
  <c r="V38" i="91"/>
  <c r="N38" i="91"/>
  <c r="L38" i="91"/>
  <c r="B38" i="91"/>
  <c r="Z37" i="91"/>
  <c r="X37" i="91"/>
  <c r="V37" i="91"/>
  <c r="N37" i="91"/>
  <c r="L37" i="91"/>
  <c r="B37" i="91"/>
  <c r="Z36" i="91"/>
  <c r="X36" i="91"/>
  <c r="V36" i="91"/>
  <c r="N36" i="91"/>
  <c r="L36" i="91"/>
  <c r="B36" i="91"/>
  <c r="Z35" i="91"/>
  <c r="X35" i="91"/>
  <c r="V35" i="91"/>
  <c r="N35" i="91"/>
  <c r="L35" i="91"/>
  <c r="B35" i="91"/>
  <c r="Z34" i="91"/>
  <c r="X34" i="91"/>
  <c r="V34" i="91"/>
  <c r="N34" i="91"/>
  <c r="L34" i="91"/>
  <c r="B34" i="91"/>
  <c r="Z33" i="91"/>
  <c r="X33" i="91"/>
  <c r="V33" i="91"/>
  <c r="N33" i="91"/>
  <c r="L33" i="91"/>
  <c r="B33" i="91"/>
  <c r="Z32" i="91"/>
  <c r="X32" i="91"/>
  <c r="V32" i="91"/>
  <c r="N32" i="91"/>
  <c r="L32" i="91"/>
  <c r="B32" i="91"/>
  <c r="Z31" i="91"/>
  <c r="X31" i="91"/>
  <c r="V31" i="91"/>
  <c r="R31" i="91"/>
  <c r="N31" i="91"/>
  <c r="L31" i="91"/>
  <c r="B31" i="91"/>
  <c r="Z30" i="91"/>
  <c r="X30" i="91"/>
  <c r="V30" i="91"/>
  <c r="N30" i="91"/>
  <c r="L30" i="91"/>
  <c r="B30" i="91"/>
  <c r="V29" i="91"/>
  <c r="T29" i="91"/>
  <c r="Z29" i="91" s="1"/>
  <c r="P29" i="91"/>
  <c r="H29" i="91"/>
  <c r="N29" i="91" s="1"/>
  <c r="D29" i="91"/>
  <c r="B29" i="91"/>
  <c r="X28" i="91"/>
  <c r="Z28" i="91" s="1"/>
  <c r="V28" i="91"/>
  <c r="L28" i="91"/>
  <c r="N28" i="91" s="1"/>
  <c r="B28" i="91"/>
  <c r="Z27" i="91"/>
  <c r="X27" i="91"/>
  <c r="N27" i="91"/>
  <c r="L27" i="91"/>
  <c r="B27" i="91"/>
  <c r="Z26" i="91"/>
  <c r="X26" i="91"/>
  <c r="V26" i="91"/>
  <c r="N26" i="91"/>
  <c r="L26" i="91"/>
  <c r="B26" i="91"/>
  <c r="Z25" i="91"/>
  <c r="X25" i="91"/>
  <c r="V25" i="91"/>
  <c r="N25" i="91"/>
  <c r="L25" i="91"/>
  <c r="B25" i="91"/>
  <c r="Z24" i="91"/>
  <c r="X24" i="91"/>
  <c r="V24" i="91"/>
  <c r="N24" i="91"/>
  <c r="L24" i="91"/>
  <c r="B24" i="91"/>
  <c r="Z23" i="91"/>
  <c r="X23" i="91"/>
  <c r="N23" i="91"/>
  <c r="L23" i="91"/>
  <c r="B23" i="91"/>
  <c r="X22" i="91"/>
  <c r="Z22" i="91" s="1"/>
  <c r="V22" i="91"/>
  <c r="N22" i="91"/>
  <c r="L22" i="91"/>
  <c r="B22" i="91"/>
  <c r="Z21" i="91"/>
  <c r="X21" i="91"/>
  <c r="V21" i="91"/>
  <c r="N21" i="91"/>
  <c r="L21" i="91"/>
  <c r="B21" i="91"/>
  <c r="Z20" i="91"/>
  <c r="X20" i="91"/>
  <c r="V20" i="91"/>
  <c r="N20" i="91"/>
  <c r="L20" i="91"/>
  <c r="F20" i="91"/>
  <c r="B20" i="91"/>
  <c r="T19" i="91"/>
  <c r="P19" i="91"/>
  <c r="X19" i="91" s="1"/>
  <c r="Z19" i="91" s="1"/>
  <c r="H19" i="91"/>
  <c r="D19" i="91"/>
  <c r="L19" i="91" s="1"/>
  <c r="N19" i="91" s="1"/>
  <c r="B19" i="91"/>
  <c r="T18" i="91"/>
  <c r="Z18" i="91" s="1"/>
  <c r="P18" i="91"/>
  <c r="X18" i="91" s="1"/>
  <c r="H18" i="91"/>
  <c r="D18" i="91"/>
  <c r="L18" i="91" s="1"/>
  <c r="N18" i="91" s="1"/>
  <c r="T16" i="91"/>
  <c r="T78" i="91" s="1"/>
  <c r="T82" i="91" s="1"/>
  <c r="R16" i="91"/>
  <c r="H16" i="91"/>
  <c r="H78" i="91" s="1"/>
  <c r="H82" i="91" s="1"/>
  <c r="F16" i="91"/>
  <c r="D16" i="91"/>
  <c r="L16" i="91" s="1"/>
  <c r="T14" i="91"/>
  <c r="Z14" i="91" s="1"/>
  <c r="R14" i="91"/>
  <c r="P14" i="91"/>
  <c r="X14" i="91" s="1"/>
  <c r="N14" i="91"/>
  <c r="L14" i="91"/>
  <c r="H14" i="91"/>
  <c r="D14" i="91"/>
  <c r="Z12" i="91"/>
  <c r="T12" i="91"/>
  <c r="V71" i="91" s="1"/>
  <c r="P12" i="91"/>
  <c r="R71" i="91" s="1"/>
  <c r="H12" i="91"/>
  <c r="J85" i="91" s="1"/>
  <c r="D12" i="91"/>
  <c r="F85" i="91" s="1"/>
  <c r="D6" i="91"/>
  <c r="D4" i="91"/>
  <c r="J39" i="88"/>
  <c r="V36" i="88"/>
  <c r="J36" i="88"/>
  <c r="Z34" i="88"/>
  <c r="X34" i="88"/>
  <c r="N34" i="88"/>
  <c r="L34" i="88"/>
  <c r="J34" i="88"/>
  <c r="R32" i="88"/>
  <c r="X30" i="88"/>
  <c r="T30" i="88"/>
  <c r="Z30" i="88" s="1"/>
  <c r="R30" i="88"/>
  <c r="P30" i="88"/>
  <c r="H30" i="88"/>
  <c r="N30" i="88" s="1"/>
  <c r="D30" i="88"/>
  <c r="Z28" i="88"/>
  <c r="X28" i="88"/>
  <c r="R28" i="88"/>
  <c r="N28" i="88"/>
  <c r="L28" i="88"/>
  <c r="J28" i="88"/>
  <c r="B28" i="88"/>
  <c r="T27" i="88"/>
  <c r="X27" i="88" s="1"/>
  <c r="R27" i="88"/>
  <c r="P27" i="88"/>
  <c r="J27" i="88"/>
  <c r="H27" i="88"/>
  <c r="N27" i="88" s="1"/>
  <c r="D27" i="88"/>
  <c r="B27" i="88"/>
  <c r="Z26" i="88"/>
  <c r="X26" i="88"/>
  <c r="R26" i="88"/>
  <c r="N26" i="88"/>
  <c r="L26" i="88"/>
  <c r="J26" i="88"/>
  <c r="B26" i="88"/>
  <c r="V25" i="88"/>
  <c r="T25" i="88"/>
  <c r="Z25" i="88" s="1"/>
  <c r="R25" i="88"/>
  <c r="P25" i="88"/>
  <c r="J25" i="88"/>
  <c r="H25" i="88"/>
  <c r="N25" i="88" s="1"/>
  <c r="D25" i="88"/>
  <c r="L25" i="88" s="1"/>
  <c r="B25" i="88"/>
  <c r="Z24" i="88"/>
  <c r="X24" i="88"/>
  <c r="V24" i="88"/>
  <c r="R24" i="88"/>
  <c r="N24" i="88"/>
  <c r="L24" i="88"/>
  <c r="B24" i="88"/>
  <c r="Z23" i="88"/>
  <c r="X23" i="88"/>
  <c r="T23" i="88"/>
  <c r="P23" i="88"/>
  <c r="N23" i="88"/>
  <c r="L23" i="88"/>
  <c r="J23" i="88"/>
  <c r="H23" i="88"/>
  <c r="D23" i="88"/>
  <c r="B23" i="88"/>
  <c r="Z22" i="88"/>
  <c r="X22" i="88"/>
  <c r="R22" i="88"/>
  <c r="L22" i="88"/>
  <c r="N22" i="88" s="1"/>
  <c r="J22" i="88"/>
  <c r="F22" i="88"/>
  <c r="B22" i="88"/>
  <c r="T21" i="88"/>
  <c r="P21" i="88"/>
  <c r="L21" i="88"/>
  <c r="N21" i="88" s="1"/>
  <c r="J21" i="88"/>
  <c r="H21" i="88"/>
  <c r="D21" i="88"/>
  <c r="B21" i="88"/>
  <c r="Z20" i="88"/>
  <c r="X20" i="88"/>
  <c r="N20" i="88"/>
  <c r="L20" i="88"/>
  <c r="J20" i="88"/>
  <c r="F20" i="88"/>
  <c r="B20" i="88"/>
  <c r="T19" i="88"/>
  <c r="Z19" i="88" s="1"/>
  <c r="R19" i="88"/>
  <c r="P19" i="88"/>
  <c r="J19" i="88"/>
  <c r="H19" i="88"/>
  <c r="N19" i="88" s="1"/>
  <c r="F19" i="88"/>
  <c r="D19" i="88"/>
  <c r="L19" i="88" s="1"/>
  <c r="B19" i="88"/>
  <c r="X18" i="88"/>
  <c r="T18" i="88"/>
  <c r="R18" i="88"/>
  <c r="P18" i="88"/>
  <c r="J18" i="88"/>
  <c r="H18" i="88"/>
  <c r="D18" i="88"/>
  <c r="L18" i="88" s="1"/>
  <c r="J16" i="88"/>
  <c r="H16" i="88"/>
  <c r="N16" i="88" s="1"/>
  <c r="T14" i="88"/>
  <c r="Z14" i="88" s="1"/>
  <c r="R14" i="88"/>
  <c r="P14" i="88"/>
  <c r="J14" i="88"/>
  <c r="H14" i="88"/>
  <c r="N14" i="88" s="1"/>
  <c r="D14" i="88"/>
  <c r="L14" i="88" s="1"/>
  <c r="T12" i="88"/>
  <c r="V39" i="88" s="1"/>
  <c r="P12" i="88"/>
  <c r="N12" i="88"/>
  <c r="H12" i="88"/>
  <c r="J32" i="88" s="1"/>
  <c r="D12" i="88"/>
  <c r="F25" i="88" s="1"/>
  <c r="D6" i="88"/>
  <c r="D4" i="88"/>
  <c r="Z86" i="87"/>
  <c r="X86" i="87"/>
  <c r="N86" i="87"/>
  <c r="L86" i="87"/>
  <c r="T82" i="87"/>
  <c r="Z82" i="87" s="1"/>
  <c r="P82" i="87"/>
  <c r="H82" i="87"/>
  <c r="N82" i="87" s="1"/>
  <c r="D82" i="87"/>
  <c r="Z80" i="87"/>
  <c r="X80" i="87"/>
  <c r="N80" i="87"/>
  <c r="L80" i="87"/>
  <c r="B80" i="87"/>
  <c r="Z79" i="87"/>
  <c r="X79" i="87"/>
  <c r="T79" i="87"/>
  <c r="P79" i="87"/>
  <c r="N79" i="87"/>
  <c r="L79" i="87"/>
  <c r="H79" i="87"/>
  <c r="D79" i="87"/>
  <c r="B79" i="87"/>
  <c r="Z78" i="87"/>
  <c r="X78" i="87"/>
  <c r="N78" i="87"/>
  <c r="L78" i="87"/>
  <c r="B78" i="87"/>
  <c r="Z77" i="87"/>
  <c r="T77" i="87"/>
  <c r="X77" i="87" s="1"/>
  <c r="P77" i="87"/>
  <c r="N77" i="87"/>
  <c r="L77" i="87"/>
  <c r="H77" i="87"/>
  <c r="D77" i="87"/>
  <c r="B77" i="87"/>
  <c r="Z76" i="87"/>
  <c r="X76" i="87"/>
  <c r="N76" i="87"/>
  <c r="L76" i="87"/>
  <c r="B76" i="87"/>
  <c r="T75" i="87"/>
  <c r="Z75" i="87" s="1"/>
  <c r="P75" i="87"/>
  <c r="X75" i="87" s="1"/>
  <c r="H75" i="87"/>
  <c r="N75" i="87" s="1"/>
  <c r="D75" i="87"/>
  <c r="L75" i="87" s="1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B72" i="87"/>
  <c r="Z71" i="87"/>
  <c r="X71" i="87"/>
  <c r="N71" i="87"/>
  <c r="L71" i="87"/>
  <c r="B71" i="87"/>
  <c r="Z70" i="87"/>
  <c r="X70" i="87"/>
  <c r="N70" i="87"/>
  <c r="L70" i="87"/>
  <c r="B70" i="87"/>
  <c r="Z69" i="87"/>
  <c r="X69" i="87"/>
  <c r="N69" i="87"/>
  <c r="L69" i="87"/>
  <c r="B69" i="87"/>
  <c r="Z68" i="87"/>
  <c r="X68" i="87"/>
  <c r="N68" i="87"/>
  <c r="L68" i="87"/>
  <c r="B68" i="87"/>
  <c r="Z67" i="87"/>
  <c r="X67" i="87"/>
  <c r="N67" i="87"/>
  <c r="L67" i="87"/>
  <c r="B67" i="87"/>
  <c r="Z66" i="87"/>
  <c r="X66" i="87"/>
  <c r="N66" i="87"/>
  <c r="L66" i="87"/>
  <c r="B66" i="87"/>
  <c r="Z65" i="87"/>
  <c r="T65" i="87"/>
  <c r="P65" i="87"/>
  <c r="X65" i="87" s="1"/>
  <c r="N65" i="87"/>
  <c r="L65" i="87"/>
  <c r="H65" i="87"/>
  <c r="D65" i="87"/>
  <c r="B65" i="87"/>
  <c r="Z64" i="87"/>
  <c r="X64" i="87"/>
  <c r="N64" i="87"/>
  <c r="L64" i="87"/>
  <c r="B64" i="87"/>
  <c r="Z63" i="87"/>
  <c r="X63" i="87"/>
  <c r="T63" i="87"/>
  <c r="P63" i="87"/>
  <c r="N63" i="87"/>
  <c r="H63" i="87"/>
  <c r="D63" i="87"/>
  <c r="L63" i="87" s="1"/>
  <c r="B63" i="87"/>
  <c r="Z62" i="87"/>
  <c r="X62" i="87"/>
  <c r="N62" i="87"/>
  <c r="L62" i="87"/>
  <c r="B62" i="87"/>
  <c r="Z61" i="87"/>
  <c r="X61" i="87"/>
  <c r="N61" i="87"/>
  <c r="L61" i="87"/>
  <c r="B61" i="87"/>
  <c r="Z60" i="87"/>
  <c r="X60" i="87"/>
  <c r="N60" i="87"/>
  <c r="L60" i="87"/>
  <c r="B60" i="87"/>
  <c r="Z59" i="87"/>
  <c r="X59" i="87"/>
  <c r="N59" i="87"/>
  <c r="L59" i="87"/>
  <c r="B59" i="87"/>
  <c r="T58" i="87"/>
  <c r="Z58" i="87" s="1"/>
  <c r="P58" i="87"/>
  <c r="X58" i="87" s="1"/>
  <c r="N58" i="87"/>
  <c r="H58" i="87"/>
  <c r="D58" i="87"/>
  <c r="L58" i="87" s="1"/>
  <c r="B58" i="87"/>
  <c r="Z57" i="87"/>
  <c r="X57" i="87"/>
  <c r="N57" i="87"/>
  <c r="L57" i="87"/>
  <c r="B57" i="87"/>
  <c r="Z56" i="87"/>
  <c r="X56" i="87"/>
  <c r="N56" i="87"/>
  <c r="L56" i="87"/>
  <c r="B56" i="87"/>
  <c r="Z55" i="87"/>
  <c r="T55" i="87"/>
  <c r="P55" i="87"/>
  <c r="X55" i="87" s="1"/>
  <c r="N55" i="87"/>
  <c r="H55" i="87"/>
  <c r="D55" i="87"/>
  <c r="L55" i="87" s="1"/>
  <c r="B55" i="87"/>
  <c r="Z54" i="87"/>
  <c r="X54" i="87"/>
  <c r="N54" i="87"/>
  <c r="L54" i="87"/>
  <c r="B54" i="87"/>
  <c r="T53" i="87"/>
  <c r="P53" i="87"/>
  <c r="H53" i="87"/>
  <c r="D53" i="87"/>
  <c r="B53" i="87"/>
  <c r="Z52" i="87"/>
  <c r="X52" i="87"/>
  <c r="N52" i="87"/>
  <c r="L52" i="87"/>
  <c r="B52" i="87"/>
  <c r="Z51" i="87"/>
  <c r="T51" i="87"/>
  <c r="P51" i="87"/>
  <c r="X51" i="87" s="1"/>
  <c r="H51" i="87"/>
  <c r="N51" i="87" s="1"/>
  <c r="D51" i="87"/>
  <c r="B51" i="87"/>
  <c r="X50" i="87"/>
  <c r="Z50" i="87" s="1"/>
  <c r="N50" i="87"/>
  <c r="L50" i="87"/>
  <c r="B50" i="87"/>
  <c r="T49" i="87"/>
  <c r="P49" i="87"/>
  <c r="X49" i="87" s="1"/>
  <c r="Z49" i="87" s="1"/>
  <c r="H49" i="87"/>
  <c r="D49" i="87"/>
  <c r="L49" i="87" s="1"/>
  <c r="N49" i="87" s="1"/>
  <c r="B49" i="87"/>
  <c r="Z48" i="87"/>
  <c r="X48" i="87"/>
  <c r="L48" i="87"/>
  <c r="N48" i="87" s="1"/>
  <c r="B48" i="87"/>
  <c r="Z47" i="87"/>
  <c r="X47" i="87"/>
  <c r="N47" i="87"/>
  <c r="L47" i="87"/>
  <c r="B47" i="87"/>
  <c r="T46" i="87"/>
  <c r="P46" i="87"/>
  <c r="H46" i="87"/>
  <c r="L46" i="87" s="1"/>
  <c r="N46" i="87" s="1"/>
  <c r="D46" i="87"/>
  <c r="B46" i="87"/>
  <c r="Z45" i="87"/>
  <c r="X45" i="87"/>
  <c r="N45" i="87"/>
  <c r="L45" i="87"/>
  <c r="B45" i="87"/>
  <c r="Z44" i="87"/>
  <c r="T44" i="87"/>
  <c r="P44" i="87"/>
  <c r="X44" i="87" s="1"/>
  <c r="N44" i="87"/>
  <c r="H44" i="87"/>
  <c r="D44" i="87"/>
  <c r="L44" i="87" s="1"/>
  <c r="B44" i="87"/>
  <c r="Z43" i="87"/>
  <c r="X43" i="87"/>
  <c r="N43" i="87"/>
  <c r="L43" i="87"/>
  <c r="B43" i="87"/>
  <c r="T42" i="87"/>
  <c r="Z42" i="87" s="1"/>
  <c r="P42" i="87"/>
  <c r="X42" i="87" s="1"/>
  <c r="H42" i="87"/>
  <c r="N42" i="87" s="1"/>
  <c r="D42" i="87"/>
  <c r="L42" i="87" s="1"/>
  <c r="B42" i="87"/>
  <c r="Z41" i="87"/>
  <c r="X41" i="87"/>
  <c r="N41" i="87"/>
  <c r="L41" i="87"/>
  <c r="B41" i="87"/>
  <c r="Z40" i="87"/>
  <c r="X40" i="87"/>
  <c r="N40" i="87"/>
  <c r="L40" i="87"/>
  <c r="B40" i="87"/>
  <c r="Z39" i="87"/>
  <c r="X39" i="87"/>
  <c r="V39" i="87"/>
  <c r="N39" i="87"/>
  <c r="L39" i="87"/>
  <c r="B39" i="87"/>
  <c r="Z38" i="87"/>
  <c r="X38" i="87"/>
  <c r="N38" i="87"/>
  <c r="L38" i="87"/>
  <c r="B38" i="87"/>
  <c r="Z37" i="87"/>
  <c r="X37" i="87"/>
  <c r="N37" i="87"/>
  <c r="L37" i="87"/>
  <c r="B37" i="87"/>
  <c r="Z36" i="87"/>
  <c r="X36" i="87"/>
  <c r="N36" i="87"/>
  <c r="L36" i="87"/>
  <c r="B36" i="87"/>
  <c r="Z35" i="87"/>
  <c r="X35" i="87"/>
  <c r="V35" i="87"/>
  <c r="N35" i="87"/>
  <c r="L35" i="87"/>
  <c r="B35" i="87"/>
  <c r="Z34" i="87"/>
  <c r="X34" i="87"/>
  <c r="N34" i="87"/>
  <c r="L34" i="87"/>
  <c r="B34" i="87"/>
  <c r="Z33" i="87"/>
  <c r="X33" i="87"/>
  <c r="N33" i="87"/>
  <c r="L33" i="87"/>
  <c r="B33" i="87"/>
  <c r="Z32" i="87"/>
  <c r="X32" i="87"/>
  <c r="N32" i="87"/>
  <c r="L32" i="87"/>
  <c r="B32" i="87"/>
  <c r="V31" i="87"/>
  <c r="T31" i="87"/>
  <c r="Z31" i="87" s="1"/>
  <c r="P31" i="87"/>
  <c r="L31" i="87"/>
  <c r="H31" i="87"/>
  <c r="N31" i="87" s="1"/>
  <c r="D31" i="87"/>
  <c r="B31" i="87"/>
  <c r="Z30" i="87"/>
  <c r="X30" i="87"/>
  <c r="N30" i="87"/>
  <c r="L30" i="87"/>
  <c r="B30" i="87"/>
  <c r="Z29" i="87"/>
  <c r="X29" i="87"/>
  <c r="N29" i="87"/>
  <c r="L29" i="87"/>
  <c r="B29" i="87"/>
  <c r="Z28" i="87"/>
  <c r="X28" i="87"/>
  <c r="N28" i="87"/>
  <c r="L28" i="87"/>
  <c r="B28" i="87"/>
  <c r="Z27" i="87"/>
  <c r="X27" i="87"/>
  <c r="N27" i="87"/>
  <c r="L27" i="87"/>
  <c r="B27" i="87"/>
  <c r="Z26" i="87"/>
  <c r="X26" i="87"/>
  <c r="N26" i="87"/>
  <c r="L26" i="87"/>
  <c r="B26" i="87"/>
  <c r="Z25" i="87"/>
  <c r="X25" i="87"/>
  <c r="N25" i="87"/>
  <c r="L25" i="87"/>
  <c r="B25" i="87"/>
  <c r="Z24" i="87"/>
  <c r="X24" i="87"/>
  <c r="N24" i="87"/>
  <c r="L24" i="87"/>
  <c r="B24" i="87"/>
  <c r="Z23" i="87"/>
  <c r="X23" i="87"/>
  <c r="N23" i="87"/>
  <c r="L23" i="87"/>
  <c r="B23" i="87"/>
  <c r="X22" i="87"/>
  <c r="T22" i="87"/>
  <c r="Z22" i="87" s="1"/>
  <c r="P22" i="87"/>
  <c r="H22" i="87"/>
  <c r="L22" i="87" s="1"/>
  <c r="D22" i="87"/>
  <c r="B22" i="87"/>
  <c r="T21" i="87"/>
  <c r="P21" i="87"/>
  <c r="X21" i="87" s="1"/>
  <c r="Z21" i="87" s="1"/>
  <c r="H21" i="87"/>
  <c r="D21" i="87"/>
  <c r="L21" i="87" s="1"/>
  <c r="N21" i="87" s="1"/>
  <c r="Z17" i="87"/>
  <c r="X17" i="87"/>
  <c r="N17" i="87"/>
  <c r="L17" i="87"/>
  <c r="B17" i="87"/>
  <c r="V16" i="87"/>
  <c r="T16" i="87"/>
  <c r="Z16" i="87" s="1"/>
  <c r="P16" i="87"/>
  <c r="H16" i="87"/>
  <c r="N16" i="87" s="1"/>
  <c r="D16" i="87"/>
  <c r="L16" i="87" s="1"/>
  <c r="Z14" i="87"/>
  <c r="P14" i="87"/>
  <c r="X14" i="87" s="1"/>
  <c r="N14" i="87"/>
  <c r="L14" i="87"/>
  <c r="D14" i="87"/>
  <c r="B14" i="87"/>
  <c r="Z13" i="87"/>
  <c r="X13" i="87"/>
  <c r="P13" i="87"/>
  <c r="N13" i="87"/>
  <c r="L13" i="87"/>
  <c r="D13" i="87"/>
  <c r="B13" i="87"/>
  <c r="Z12" i="87"/>
  <c r="T12" i="87"/>
  <c r="V65" i="87" s="1"/>
  <c r="H12" i="87"/>
  <c r="J23" i="87" s="1"/>
  <c r="D12" i="87"/>
  <c r="F32" i="87" s="1"/>
  <c r="D6" i="87"/>
  <c r="D4" i="87"/>
  <c r="X30" i="85"/>
  <c r="Z30" i="85" s="1"/>
  <c r="L30" i="85"/>
  <c r="N30" i="85" s="1"/>
  <c r="Z26" i="85"/>
  <c r="X26" i="85"/>
  <c r="T26" i="85"/>
  <c r="P26" i="85"/>
  <c r="N26" i="85"/>
  <c r="L26" i="85"/>
  <c r="J26" i="85"/>
  <c r="H26" i="85"/>
  <c r="D26" i="85"/>
  <c r="X24" i="85"/>
  <c r="Z24" i="85" s="1"/>
  <c r="L24" i="85"/>
  <c r="N24" i="85" s="1"/>
  <c r="F24" i="85"/>
  <c r="B24" i="85"/>
  <c r="T23" i="85"/>
  <c r="P23" i="85"/>
  <c r="H23" i="85"/>
  <c r="D23" i="85"/>
  <c r="B23" i="85"/>
  <c r="T22" i="85"/>
  <c r="P22" i="85"/>
  <c r="J22" i="85"/>
  <c r="H22" i="85"/>
  <c r="D22" i="85"/>
  <c r="L22" i="85" s="1"/>
  <c r="H20" i="85"/>
  <c r="H28" i="85" s="1"/>
  <c r="Z18" i="85"/>
  <c r="X18" i="85"/>
  <c r="N18" i="85"/>
  <c r="L18" i="85"/>
  <c r="B18" i="85"/>
  <c r="X17" i="85"/>
  <c r="Z17" i="85" s="1"/>
  <c r="V17" i="85"/>
  <c r="L17" i="85"/>
  <c r="N17" i="85" s="1"/>
  <c r="J17" i="85"/>
  <c r="F17" i="85"/>
  <c r="B17" i="85"/>
  <c r="T16" i="85"/>
  <c r="P16" i="85"/>
  <c r="J16" i="85"/>
  <c r="H16" i="85"/>
  <c r="D16" i="85"/>
  <c r="L16" i="85" s="1"/>
  <c r="Z14" i="85"/>
  <c r="P14" i="85"/>
  <c r="X14" i="85" s="1"/>
  <c r="N14" i="85"/>
  <c r="D14" i="85"/>
  <c r="L14" i="85" s="1"/>
  <c r="B14" i="85"/>
  <c r="X13" i="85"/>
  <c r="Z13" i="85" s="1"/>
  <c r="P13" i="85"/>
  <c r="P12" i="85" s="1"/>
  <c r="N13" i="85"/>
  <c r="L13" i="85"/>
  <c r="D13" i="85"/>
  <c r="B13" i="85"/>
  <c r="T12" i="85"/>
  <c r="V23" i="85" s="1"/>
  <c r="H12" i="85"/>
  <c r="D12" i="85"/>
  <c r="F23" i="85" s="1"/>
  <c r="D6" i="85"/>
  <c r="D4" i="85"/>
  <c r="X113" i="84"/>
  <c r="Z113" i="84" s="1"/>
  <c r="L113" i="84"/>
  <c r="N113" i="84" s="1"/>
  <c r="Z109" i="84"/>
  <c r="X109" i="84"/>
  <c r="T109" i="84"/>
  <c r="P109" i="84"/>
  <c r="N109" i="84"/>
  <c r="L109" i="84"/>
  <c r="H109" i="84"/>
  <c r="D109" i="84"/>
  <c r="Z107" i="84"/>
  <c r="X107" i="84"/>
  <c r="L107" i="84"/>
  <c r="N107" i="84" s="1"/>
  <c r="B107" i="84"/>
  <c r="T106" i="84"/>
  <c r="P106" i="84"/>
  <c r="N106" i="84"/>
  <c r="H106" i="84"/>
  <c r="D106" i="84"/>
  <c r="L106" i="84" s="1"/>
  <c r="B106" i="84"/>
  <c r="X105" i="84"/>
  <c r="Z105" i="84" s="1"/>
  <c r="L105" i="84"/>
  <c r="N105" i="84" s="1"/>
  <c r="B105" i="84"/>
  <c r="Z104" i="84"/>
  <c r="X104" i="84"/>
  <c r="N104" i="84"/>
  <c r="L104" i="84"/>
  <c r="B104" i="84"/>
  <c r="T103" i="84"/>
  <c r="P103" i="84"/>
  <c r="H103" i="84"/>
  <c r="D103" i="84"/>
  <c r="B103" i="84"/>
  <c r="Z102" i="84"/>
  <c r="X102" i="84"/>
  <c r="N102" i="84"/>
  <c r="L102" i="84"/>
  <c r="B102" i="84"/>
  <c r="Z101" i="84"/>
  <c r="X101" i="84"/>
  <c r="T101" i="84"/>
  <c r="P101" i="84"/>
  <c r="N101" i="84"/>
  <c r="L101" i="84"/>
  <c r="H101" i="84"/>
  <c r="D101" i="84"/>
  <c r="B101" i="84"/>
  <c r="Z100" i="84"/>
  <c r="X100" i="84"/>
  <c r="N100" i="84"/>
  <c r="L100" i="84"/>
  <c r="B100" i="84"/>
  <c r="X99" i="84"/>
  <c r="Z99" i="84" s="1"/>
  <c r="L99" i="84"/>
  <c r="N99" i="84" s="1"/>
  <c r="B99" i="84"/>
  <c r="T98" i="84"/>
  <c r="P98" i="84"/>
  <c r="H98" i="84"/>
  <c r="D98" i="84"/>
  <c r="B98" i="84"/>
  <c r="X97" i="84"/>
  <c r="Z97" i="84" s="1"/>
  <c r="L97" i="84"/>
  <c r="N97" i="84" s="1"/>
  <c r="B97" i="84"/>
  <c r="X96" i="84"/>
  <c r="Z96" i="84" s="1"/>
  <c r="N96" i="84"/>
  <c r="L96" i="84"/>
  <c r="B96" i="84"/>
  <c r="X95" i="84"/>
  <c r="Z95" i="84" s="1"/>
  <c r="L95" i="84"/>
  <c r="N95" i="84" s="1"/>
  <c r="B95" i="84"/>
  <c r="Z94" i="84"/>
  <c r="X94" i="84"/>
  <c r="L94" i="84"/>
  <c r="N94" i="84" s="1"/>
  <c r="B94" i="84"/>
  <c r="X93" i="84"/>
  <c r="Z93" i="84" s="1"/>
  <c r="L93" i="84"/>
  <c r="N93" i="84" s="1"/>
  <c r="B93" i="84"/>
  <c r="Z92" i="84"/>
  <c r="X92" i="84"/>
  <c r="N92" i="84"/>
  <c r="L92" i="84"/>
  <c r="B92" i="84"/>
  <c r="T91" i="84"/>
  <c r="P91" i="84"/>
  <c r="X91" i="84" s="1"/>
  <c r="H91" i="84"/>
  <c r="D91" i="84"/>
  <c r="B91" i="84"/>
  <c r="Z90" i="84"/>
  <c r="X90" i="84"/>
  <c r="N90" i="84"/>
  <c r="L90" i="84"/>
  <c r="B90" i="84"/>
  <c r="Z89" i="84"/>
  <c r="X89" i="84"/>
  <c r="N89" i="84"/>
  <c r="L89" i="84"/>
  <c r="B89" i="84"/>
  <c r="T88" i="84"/>
  <c r="P88" i="84"/>
  <c r="L88" i="84"/>
  <c r="H88" i="84"/>
  <c r="N88" i="84" s="1"/>
  <c r="D88" i="84"/>
  <c r="B88" i="84"/>
  <c r="Z87" i="84"/>
  <c r="X87" i="84"/>
  <c r="L87" i="84"/>
  <c r="N87" i="84" s="1"/>
  <c r="B87" i="84"/>
  <c r="Z86" i="84"/>
  <c r="X86" i="84"/>
  <c r="L86" i="84"/>
  <c r="N86" i="84" s="1"/>
  <c r="B86" i="84"/>
  <c r="Z85" i="84"/>
  <c r="X85" i="84"/>
  <c r="N85" i="84"/>
  <c r="L85" i="84"/>
  <c r="B85" i="84"/>
  <c r="Z84" i="84"/>
  <c r="T84" i="84"/>
  <c r="P84" i="84"/>
  <c r="X84" i="84" s="1"/>
  <c r="H84" i="84"/>
  <c r="D84" i="84"/>
  <c r="B84" i="84"/>
  <c r="X83" i="84"/>
  <c r="Z83" i="84" s="1"/>
  <c r="N83" i="84"/>
  <c r="L83" i="84"/>
  <c r="B83" i="84"/>
  <c r="X82" i="84"/>
  <c r="Z82" i="84" s="1"/>
  <c r="T82" i="84"/>
  <c r="P82" i="84"/>
  <c r="L82" i="84"/>
  <c r="N82" i="84" s="1"/>
  <c r="H82" i="84"/>
  <c r="D82" i="84"/>
  <c r="B82" i="84"/>
  <c r="X81" i="84"/>
  <c r="Z81" i="84" s="1"/>
  <c r="N81" i="84"/>
  <c r="L81" i="84"/>
  <c r="B81" i="84"/>
  <c r="X80" i="84"/>
  <c r="T80" i="84"/>
  <c r="P80" i="84"/>
  <c r="H80" i="84"/>
  <c r="D80" i="84"/>
  <c r="B80" i="84"/>
  <c r="X79" i="84"/>
  <c r="Z79" i="84" s="1"/>
  <c r="N79" i="84"/>
  <c r="L79" i="84"/>
  <c r="B79" i="84"/>
  <c r="T78" i="84"/>
  <c r="P78" i="84"/>
  <c r="N78" i="84"/>
  <c r="H78" i="84"/>
  <c r="D78" i="84"/>
  <c r="L78" i="84" s="1"/>
  <c r="B78" i="84"/>
  <c r="X77" i="84"/>
  <c r="Z77" i="84" s="1"/>
  <c r="L77" i="84"/>
  <c r="N77" i="84" s="1"/>
  <c r="B77" i="84"/>
  <c r="X76" i="84"/>
  <c r="Z76" i="84" s="1"/>
  <c r="T76" i="84"/>
  <c r="P76" i="84"/>
  <c r="H76" i="84"/>
  <c r="D76" i="84"/>
  <c r="L76" i="84" s="1"/>
  <c r="N76" i="84" s="1"/>
  <c r="B76" i="84"/>
  <c r="X75" i="84"/>
  <c r="Z75" i="84" s="1"/>
  <c r="N75" i="84"/>
  <c r="L75" i="84"/>
  <c r="B75" i="84"/>
  <c r="T74" i="84"/>
  <c r="P74" i="84"/>
  <c r="H74" i="84"/>
  <c r="L74" i="84" s="1"/>
  <c r="D74" i="84"/>
  <c r="B74" i="84"/>
  <c r="Z73" i="84"/>
  <c r="X73" i="84"/>
  <c r="N73" i="84"/>
  <c r="L73" i="84"/>
  <c r="B73" i="84"/>
  <c r="Z72" i="84"/>
  <c r="X72" i="84"/>
  <c r="N72" i="84"/>
  <c r="L72" i="84"/>
  <c r="B72" i="84"/>
  <c r="X71" i="84"/>
  <c r="Z71" i="84" s="1"/>
  <c r="T71" i="84"/>
  <c r="P71" i="84"/>
  <c r="N71" i="84"/>
  <c r="L71" i="84"/>
  <c r="H71" i="84"/>
  <c r="D71" i="84"/>
  <c r="B71" i="84"/>
  <c r="Z70" i="84"/>
  <c r="X70" i="84"/>
  <c r="L70" i="84"/>
  <c r="N70" i="84" s="1"/>
  <c r="B70" i="84"/>
  <c r="T69" i="84"/>
  <c r="P69" i="84"/>
  <c r="H69" i="84"/>
  <c r="D69" i="84"/>
  <c r="B69" i="84"/>
  <c r="Z68" i="84"/>
  <c r="X68" i="84"/>
  <c r="N68" i="84"/>
  <c r="L68" i="84"/>
  <c r="B68" i="84"/>
  <c r="Z67" i="84"/>
  <c r="T67" i="84"/>
  <c r="X67" i="84" s="1"/>
  <c r="P67" i="84"/>
  <c r="N67" i="84"/>
  <c r="L67" i="84"/>
  <c r="H67" i="84"/>
  <c r="D67" i="84"/>
  <c r="B67" i="84"/>
  <c r="Z66" i="84"/>
  <c r="X66" i="84"/>
  <c r="L66" i="84"/>
  <c r="N66" i="84" s="1"/>
  <c r="B66" i="84"/>
  <c r="X65" i="84"/>
  <c r="Z65" i="84" s="1"/>
  <c r="T65" i="84"/>
  <c r="P65" i="84"/>
  <c r="N65" i="84"/>
  <c r="L65" i="84"/>
  <c r="H65" i="84"/>
  <c r="D65" i="84"/>
  <c r="B65" i="84"/>
  <c r="Z64" i="84"/>
  <c r="X64" i="84"/>
  <c r="L64" i="84"/>
  <c r="N64" i="84" s="1"/>
  <c r="B64" i="84"/>
  <c r="T63" i="84"/>
  <c r="P63" i="84"/>
  <c r="X63" i="84" s="1"/>
  <c r="H63" i="84"/>
  <c r="D63" i="84"/>
  <c r="B63" i="84"/>
  <c r="X62" i="84"/>
  <c r="Z62" i="84" s="1"/>
  <c r="N62" i="84"/>
  <c r="L62" i="84"/>
  <c r="B62" i="84"/>
  <c r="T61" i="84"/>
  <c r="P61" i="84"/>
  <c r="X61" i="84" s="1"/>
  <c r="Z61" i="84" s="1"/>
  <c r="H61" i="84"/>
  <c r="D61" i="84"/>
  <c r="L61" i="84" s="1"/>
  <c r="N61" i="84" s="1"/>
  <c r="B61" i="84"/>
  <c r="Z60" i="84"/>
  <c r="X60" i="84"/>
  <c r="L60" i="84"/>
  <c r="N60" i="84" s="1"/>
  <c r="B60" i="84"/>
  <c r="T59" i="84"/>
  <c r="P59" i="84"/>
  <c r="X59" i="84" s="1"/>
  <c r="H59" i="84"/>
  <c r="D59" i="84"/>
  <c r="L59" i="84" s="1"/>
  <c r="N59" i="84" s="1"/>
  <c r="B59" i="84"/>
  <c r="Z58" i="84"/>
  <c r="X58" i="84"/>
  <c r="N58" i="84"/>
  <c r="L58" i="84"/>
  <c r="B58" i="84"/>
  <c r="Z57" i="84"/>
  <c r="X57" i="84"/>
  <c r="N57" i="84"/>
  <c r="L57" i="84"/>
  <c r="B57" i="84"/>
  <c r="Z56" i="84"/>
  <c r="X56" i="84"/>
  <c r="N56" i="84"/>
  <c r="L56" i="84"/>
  <c r="B56" i="84"/>
  <c r="X55" i="84"/>
  <c r="Z55" i="84" s="1"/>
  <c r="N55" i="84"/>
  <c r="L55" i="84"/>
  <c r="B55" i="84"/>
  <c r="Z54" i="84"/>
  <c r="X54" i="84"/>
  <c r="N54" i="84"/>
  <c r="L54" i="84"/>
  <c r="B54" i="84"/>
  <c r="Z53" i="84"/>
  <c r="X53" i="84"/>
  <c r="N53" i="84"/>
  <c r="L53" i="84"/>
  <c r="B53" i="84"/>
  <c r="X52" i="84"/>
  <c r="Z52" i="84" s="1"/>
  <c r="L52" i="84"/>
  <c r="N52" i="84" s="1"/>
  <c r="B52" i="84"/>
  <c r="Z51" i="84"/>
  <c r="X51" i="84"/>
  <c r="N51" i="84"/>
  <c r="L51" i="84"/>
  <c r="B51" i="84"/>
  <c r="Z50" i="84"/>
  <c r="X50" i="84"/>
  <c r="N50" i="84"/>
  <c r="L50" i="84"/>
  <c r="B50" i="84"/>
  <c r="Z49" i="84"/>
  <c r="X49" i="84"/>
  <c r="N49" i="84"/>
  <c r="L49" i="84"/>
  <c r="B49" i="84"/>
  <c r="T48" i="84"/>
  <c r="P48" i="84"/>
  <c r="X48" i="84" s="1"/>
  <c r="Z48" i="84" s="1"/>
  <c r="H48" i="84"/>
  <c r="D48" i="84"/>
  <c r="L48" i="84" s="1"/>
  <c r="N48" i="84" s="1"/>
  <c r="B48" i="84"/>
  <c r="X47" i="84"/>
  <c r="Z47" i="84" s="1"/>
  <c r="L47" i="84"/>
  <c r="N47" i="84" s="1"/>
  <c r="B47" i="84"/>
  <c r="Z46" i="84"/>
  <c r="X46" i="84"/>
  <c r="N46" i="84"/>
  <c r="L46" i="84"/>
  <c r="B46" i="84"/>
  <c r="X45" i="84"/>
  <c r="Z45" i="84" s="1"/>
  <c r="N45" i="84"/>
  <c r="L45" i="84"/>
  <c r="B45" i="84"/>
  <c r="Z44" i="84"/>
  <c r="X44" i="84"/>
  <c r="N44" i="84"/>
  <c r="L44" i="84"/>
  <c r="B44" i="84"/>
  <c r="Z43" i="84"/>
  <c r="X43" i="84"/>
  <c r="L43" i="84"/>
  <c r="N43" i="84" s="1"/>
  <c r="B43" i="84"/>
  <c r="X42" i="84"/>
  <c r="Z42" i="84" s="1"/>
  <c r="N42" i="84"/>
  <c r="L42" i="84"/>
  <c r="B42" i="84"/>
  <c r="X41" i="84"/>
  <c r="Z41" i="84" s="1"/>
  <c r="L41" i="84"/>
  <c r="N41" i="84" s="1"/>
  <c r="B41" i="84"/>
  <c r="X40" i="84"/>
  <c r="Z40" i="84" s="1"/>
  <c r="N40" i="84"/>
  <c r="L40" i="84"/>
  <c r="B40" i="84"/>
  <c r="Z39" i="84"/>
  <c r="X39" i="84"/>
  <c r="L39" i="84"/>
  <c r="N39" i="84" s="1"/>
  <c r="B39" i="84"/>
  <c r="T38" i="84"/>
  <c r="P38" i="84"/>
  <c r="H38" i="84"/>
  <c r="L38" i="84" s="1"/>
  <c r="N38" i="84" s="1"/>
  <c r="D38" i="84"/>
  <c r="B38" i="84"/>
  <c r="V37" i="84"/>
  <c r="T37" i="84"/>
  <c r="P37" i="84"/>
  <c r="X37" i="84" s="1"/>
  <c r="H37" i="84"/>
  <c r="D37" i="84"/>
  <c r="L37" i="84" s="1"/>
  <c r="Z33" i="84"/>
  <c r="X33" i="84"/>
  <c r="N33" i="84"/>
  <c r="L33" i="84"/>
  <c r="B33" i="84"/>
  <c r="Z32" i="84"/>
  <c r="X32" i="84"/>
  <c r="N32" i="84"/>
  <c r="L32" i="84"/>
  <c r="B32" i="84"/>
  <c r="X31" i="84"/>
  <c r="V31" i="84"/>
  <c r="T31" i="84"/>
  <c r="Z31" i="84" s="1"/>
  <c r="P31" i="84"/>
  <c r="H31" i="84"/>
  <c r="D31" i="84"/>
  <c r="L31" i="84" s="1"/>
  <c r="Z29" i="84"/>
  <c r="P29" i="84"/>
  <c r="X29" i="84" s="1"/>
  <c r="N29" i="84"/>
  <c r="D29" i="84"/>
  <c r="L29" i="84" s="1"/>
  <c r="B29" i="84"/>
  <c r="Z28" i="84"/>
  <c r="P28" i="84"/>
  <c r="X28" i="84" s="1"/>
  <c r="N28" i="84"/>
  <c r="L28" i="84"/>
  <c r="D28" i="84"/>
  <c r="B28" i="84"/>
  <c r="Z27" i="84"/>
  <c r="X27" i="84"/>
  <c r="P27" i="84"/>
  <c r="N27" i="84"/>
  <c r="L27" i="84"/>
  <c r="D27" i="84"/>
  <c r="B27" i="84"/>
  <c r="Z26" i="84"/>
  <c r="P26" i="84"/>
  <c r="X26" i="84" s="1"/>
  <c r="N26" i="84"/>
  <c r="D26" i="84"/>
  <c r="L26" i="84" s="1"/>
  <c r="B26" i="84"/>
  <c r="Z25" i="84"/>
  <c r="P25" i="84"/>
  <c r="X25" i="84" s="1"/>
  <c r="N25" i="84"/>
  <c r="L25" i="84"/>
  <c r="D25" i="84"/>
  <c r="B25" i="84"/>
  <c r="Z24" i="84"/>
  <c r="X24" i="84"/>
  <c r="P24" i="84"/>
  <c r="N24" i="84"/>
  <c r="L24" i="84"/>
  <c r="D24" i="84"/>
  <c r="B24" i="84"/>
  <c r="Z23" i="84"/>
  <c r="X23" i="84"/>
  <c r="P23" i="84"/>
  <c r="N23" i="84"/>
  <c r="D23" i="84"/>
  <c r="L23" i="84" s="1"/>
  <c r="B23" i="84"/>
  <c r="Z22" i="84"/>
  <c r="P22" i="84"/>
  <c r="X22" i="84" s="1"/>
  <c r="N22" i="84"/>
  <c r="D22" i="84"/>
  <c r="L22" i="84" s="1"/>
  <c r="B22" i="84"/>
  <c r="Z21" i="84"/>
  <c r="X21" i="84"/>
  <c r="P21" i="84"/>
  <c r="N21" i="84"/>
  <c r="D21" i="84"/>
  <c r="L21" i="84" s="1"/>
  <c r="B21" i="84"/>
  <c r="Z20" i="84"/>
  <c r="P20" i="84"/>
  <c r="X20" i="84" s="1"/>
  <c r="N20" i="84"/>
  <c r="D20" i="84"/>
  <c r="L20" i="84" s="1"/>
  <c r="B20" i="84"/>
  <c r="Z19" i="84"/>
  <c r="P19" i="84"/>
  <c r="X19" i="84" s="1"/>
  <c r="N19" i="84"/>
  <c r="L19" i="84"/>
  <c r="D19" i="84"/>
  <c r="B19" i="84"/>
  <c r="Z18" i="84"/>
  <c r="P18" i="84"/>
  <c r="X18" i="84" s="1"/>
  <c r="N18" i="84"/>
  <c r="L18" i="84"/>
  <c r="D18" i="84"/>
  <c r="B18" i="84"/>
  <c r="Z17" i="84"/>
  <c r="P17" i="84"/>
  <c r="X17" i="84" s="1"/>
  <c r="N17" i="84"/>
  <c r="D17" i="84"/>
  <c r="L17" i="84" s="1"/>
  <c r="B17" i="84"/>
  <c r="Z16" i="84"/>
  <c r="P16" i="84"/>
  <c r="X16" i="84" s="1"/>
  <c r="N16" i="84"/>
  <c r="L16" i="84"/>
  <c r="D16" i="84"/>
  <c r="B16" i="84"/>
  <c r="Z15" i="84"/>
  <c r="X15" i="84"/>
  <c r="P15" i="84"/>
  <c r="N15" i="84"/>
  <c r="D15" i="84"/>
  <c r="L15" i="84" s="1"/>
  <c r="B15" i="84"/>
  <c r="Z14" i="84"/>
  <c r="P14" i="84"/>
  <c r="X14" i="84" s="1"/>
  <c r="N14" i="84"/>
  <c r="D14" i="84"/>
  <c r="L14" i="84" s="1"/>
  <c r="B14" i="84"/>
  <c r="X13" i="84"/>
  <c r="Z13" i="84" s="1"/>
  <c r="P13" i="84"/>
  <c r="P12" i="84" s="1"/>
  <c r="D13" i="84"/>
  <c r="L13" i="84" s="1"/>
  <c r="N13" i="84" s="1"/>
  <c r="B13" i="84"/>
  <c r="T12" i="84"/>
  <c r="V109" i="84" s="1"/>
  <c r="H12" i="84"/>
  <c r="J46" i="84" s="1"/>
  <c r="D12" i="84"/>
  <c r="F101" i="84" s="1"/>
  <c r="D6" i="84"/>
  <c r="D4" i="84"/>
  <c r="V83" i="83"/>
  <c r="R83" i="83"/>
  <c r="V80" i="83"/>
  <c r="Z78" i="83"/>
  <c r="X78" i="83"/>
  <c r="V78" i="83"/>
  <c r="R78" i="83"/>
  <c r="N78" i="83"/>
  <c r="L78" i="83"/>
  <c r="V76" i="83"/>
  <c r="X74" i="83"/>
  <c r="V74" i="83"/>
  <c r="T74" i="83"/>
  <c r="Z74" i="83" s="1"/>
  <c r="R74" i="83"/>
  <c r="P74" i="83"/>
  <c r="L74" i="83"/>
  <c r="H74" i="83"/>
  <c r="N74" i="83" s="1"/>
  <c r="D74" i="83"/>
  <c r="X72" i="83"/>
  <c r="Z72" i="83" s="1"/>
  <c r="V72" i="83"/>
  <c r="R72" i="83"/>
  <c r="N72" i="83"/>
  <c r="L72" i="83"/>
  <c r="B72" i="83"/>
  <c r="T71" i="83"/>
  <c r="P71" i="83"/>
  <c r="X71" i="83" s="1"/>
  <c r="Z71" i="83" s="1"/>
  <c r="N71" i="83"/>
  <c r="L71" i="83"/>
  <c r="H71" i="83"/>
  <c r="D71" i="83"/>
  <c r="B71" i="83"/>
  <c r="Z70" i="83"/>
  <c r="X70" i="83"/>
  <c r="V70" i="83"/>
  <c r="N70" i="83"/>
  <c r="L70" i="83"/>
  <c r="B70" i="83"/>
  <c r="Z69" i="83"/>
  <c r="X69" i="83"/>
  <c r="V69" i="83"/>
  <c r="R69" i="83"/>
  <c r="L69" i="83"/>
  <c r="N69" i="83" s="1"/>
  <c r="B69" i="83"/>
  <c r="V68" i="83"/>
  <c r="T68" i="83"/>
  <c r="R68" i="83"/>
  <c r="P68" i="83"/>
  <c r="H68" i="83"/>
  <c r="F68" i="83"/>
  <c r="D68" i="83"/>
  <c r="B68" i="83"/>
  <c r="X67" i="83"/>
  <c r="Z67" i="83" s="1"/>
  <c r="V67" i="83"/>
  <c r="R67" i="83"/>
  <c r="N67" i="83"/>
  <c r="L67" i="83"/>
  <c r="B67" i="83"/>
  <c r="X66" i="83"/>
  <c r="Z66" i="83" s="1"/>
  <c r="V66" i="83"/>
  <c r="L66" i="83"/>
  <c r="N66" i="83" s="1"/>
  <c r="B66" i="83"/>
  <c r="X65" i="83"/>
  <c r="Z65" i="83" s="1"/>
  <c r="V65" i="83"/>
  <c r="R65" i="83"/>
  <c r="L65" i="83"/>
  <c r="N65" i="83" s="1"/>
  <c r="F65" i="83"/>
  <c r="B65" i="83"/>
  <c r="T64" i="83"/>
  <c r="R64" i="83"/>
  <c r="P64" i="83"/>
  <c r="X64" i="83" s="1"/>
  <c r="Z64" i="83" s="1"/>
  <c r="H64" i="83"/>
  <c r="F64" i="83"/>
  <c r="D64" i="83"/>
  <c r="L64" i="83" s="1"/>
  <c r="N64" i="83" s="1"/>
  <c r="B64" i="83"/>
  <c r="Z63" i="83"/>
  <c r="X63" i="83"/>
  <c r="L63" i="83"/>
  <c r="N63" i="83" s="1"/>
  <c r="B63" i="83"/>
  <c r="X62" i="83"/>
  <c r="V62" i="83"/>
  <c r="T62" i="83"/>
  <c r="Z62" i="83" s="1"/>
  <c r="R62" i="83"/>
  <c r="P62" i="83"/>
  <c r="L62" i="83"/>
  <c r="H62" i="83"/>
  <c r="N62" i="83" s="1"/>
  <c r="D62" i="83"/>
  <c r="B62" i="83"/>
  <c r="X61" i="83"/>
  <c r="Z61" i="83" s="1"/>
  <c r="V61" i="83"/>
  <c r="R61" i="83"/>
  <c r="L61" i="83"/>
  <c r="N61" i="83" s="1"/>
  <c r="F61" i="83"/>
  <c r="B61" i="83"/>
  <c r="Z60" i="83"/>
  <c r="X60" i="83"/>
  <c r="N60" i="83"/>
  <c r="L60" i="83"/>
  <c r="B60" i="83"/>
  <c r="X59" i="83"/>
  <c r="Z59" i="83" s="1"/>
  <c r="V59" i="83"/>
  <c r="R59" i="83"/>
  <c r="L59" i="83"/>
  <c r="N59" i="83" s="1"/>
  <c r="B59" i="83"/>
  <c r="V58" i="83"/>
  <c r="T58" i="83"/>
  <c r="R58" i="83"/>
  <c r="P58" i="83"/>
  <c r="H58" i="83"/>
  <c r="F58" i="83"/>
  <c r="D58" i="83"/>
  <c r="B58" i="83"/>
  <c r="X57" i="83"/>
  <c r="Z57" i="83" s="1"/>
  <c r="V57" i="83"/>
  <c r="R57" i="83"/>
  <c r="L57" i="83"/>
  <c r="N57" i="83" s="1"/>
  <c r="B57" i="83"/>
  <c r="Z56" i="83"/>
  <c r="X56" i="83"/>
  <c r="V56" i="83"/>
  <c r="N56" i="83"/>
  <c r="L56" i="83"/>
  <c r="F56" i="83"/>
  <c r="B56" i="83"/>
  <c r="V55" i="83"/>
  <c r="T55" i="83"/>
  <c r="P55" i="83"/>
  <c r="X55" i="83" s="1"/>
  <c r="L55" i="83"/>
  <c r="H55" i="83"/>
  <c r="D55" i="83"/>
  <c r="B55" i="83"/>
  <c r="Z54" i="83"/>
  <c r="X54" i="83"/>
  <c r="V54" i="83"/>
  <c r="N54" i="83"/>
  <c r="L54" i="83"/>
  <c r="F54" i="83"/>
  <c r="B54" i="83"/>
  <c r="T53" i="83"/>
  <c r="Z53" i="83" s="1"/>
  <c r="R53" i="83"/>
  <c r="P53" i="83"/>
  <c r="X53" i="83" s="1"/>
  <c r="H53" i="83"/>
  <c r="F53" i="83"/>
  <c r="D53" i="83"/>
  <c r="L53" i="83" s="1"/>
  <c r="N53" i="83" s="1"/>
  <c r="B53" i="83"/>
  <c r="Z52" i="83"/>
  <c r="X52" i="83"/>
  <c r="V52" i="83"/>
  <c r="R52" i="83"/>
  <c r="N52" i="83"/>
  <c r="L52" i="83"/>
  <c r="B52" i="83"/>
  <c r="X51" i="83"/>
  <c r="V51" i="83"/>
  <c r="T51" i="83"/>
  <c r="Z51" i="83" s="1"/>
  <c r="P51" i="83"/>
  <c r="H51" i="83"/>
  <c r="D51" i="83"/>
  <c r="L51" i="83" s="1"/>
  <c r="B51" i="83"/>
  <c r="X50" i="83"/>
  <c r="Z50" i="83" s="1"/>
  <c r="V50" i="83"/>
  <c r="N50" i="83"/>
  <c r="L50" i="83"/>
  <c r="B50" i="83"/>
  <c r="X49" i="83"/>
  <c r="V49" i="83"/>
  <c r="T49" i="83"/>
  <c r="R49" i="83"/>
  <c r="P49" i="83"/>
  <c r="H49" i="83"/>
  <c r="N49" i="83" s="1"/>
  <c r="F49" i="83"/>
  <c r="D49" i="83"/>
  <c r="B49" i="83"/>
  <c r="X48" i="83"/>
  <c r="Z48" i="83" s="1"/>
  <c r="V48" i="83"/>
  <c r="R48" i="83"/>
  <c r="N48" i="83"/>
  <c r="L48" i="83"/>
  <c r="F48" i="83"/>
  <c r="B48" i="83"/>
  <c r="Z47" i="83"/>
  <c r="X47" i="83"/>
  <c r="N47" i="83"/>
  <c r="L47" i="83"/>
  <c r="B47" i="83"/>
  <c r="V46" i="83"/>
  <c r="T46" i="83"/>
  <c r="R46" i="83"/>
  <c r="P46" i="83"/>
  <c r="H46" i="83"/>
  <c r="D46" i="83"/>
  <c r="B46" i="83"/>
  <c r="X45" i="83"/>
  <c r="Z45" i="83" s="1"/>
  <c r="V45" i="83"/>
  <c r="R45" i="83"/>
  <c r="L45" i="83"/>
  <c r="N45" i="83" s="1"/>
  <c r="B45" i="83"/>
  <c r="V44" i="83"/>
  <c r="T44" i="83"/>
  <c r="P44" i="83"/>
  <c r="H44" i="83"/>
  <c r="D44" i="83"/>
  <c r="B44" i="83"/>
  <c r="X43" i="83"/>
  <c r="Z43" i="83" s="1"/>
  <c r="V43" i="83"/>
  <c r="R43" i="83"/>
  <c r="N43" i="83"/>
  <c r="L43" i="83"/>
  <c r="B43" i="83"/>
  <c r="V42" i="83"/>
  <c r="T42" i="83"/>
  <c r="P42" i="83"/>
  <c r="X42" i="83" s="1"/>
  <c r="Z42" i="83" s="1"/>
  <c r="N42" i="83"/>
  <c r="H42" i="83"/>
  <c r="D42" i="83"/>
  <c r="L42" i="83" s="1"/>
  <c r="B42" i="83"/>
  <c r="Z41" i="83"/>
  <c r="X41" i="83"/>
  <c r="L41" i="83"/>
  <c r="N41" i="83" s="1"/>
  <c r="B41" i="83"/>
  <c r="V40" i="83"/>
  <c r="T40" i="83"/>
  <c r="R40" i="83"/>
  <c r="P40" i="83"/>
  <c r="H40" i="83"/>
  <c r="D40" i="83"/>
  <c r="B40" i="83"/>
  <c r="Z39" i="83"/>
  <c r="X39" i="83"/>
  <c r="V39" i="83"/>
  <c r="R39" i="83"/>
  <c r="N39" i="83"/>
  <c r="L39" i="83"/>
  <c r="F39" i="83"/>
  <c r="B39" i="83"/>
  <c r="Z38" i="83"/>
  <c r="X38" i="83"/>
  <c r="N38" i="83"/>
  <c r="L38" i="83"/>
  <c r="B38" i="83"/>
  <c r="X37" i="83"/>
  <c r="Z37" i="83" s="1"/>
  <c r="V37" i="83"/>
  <c r="R37" i="83"/>
  <c r="L37" i="83"/>
  <c r="N37" i="83" s="1"/>
  <c r="B37" i="83"/>
  <c r="Z36" i="83"/>
  <c r="X36" i="83"/>
  <c r="V36" i="83"/>
  <c r="R36" i="83"/>
  <c r="L36" i="83"/>
  <c r="N36" i="83" s="1"/>
  <c r="B36" i="83"/>
  <c r="Z35" i="83"/>
  <c r="X35" i="83"/>
  <c r="N35" i="83"/>
  <c r="L35" i="83"/>
  <c r="F35" i="83"/>
  <c r="B35" i="83"/>
  <c r="Z34" i="83"/>
  <c r="X34" i="83"/>
  <c r="V34" i="83"/>
  <c r="R34" i="83"/>
  <c r="N34" i="83"/>
  <c r="L34" i="83"/>
  <c r="B34" i="83"/>
  <c r="Z33" i="83"/>
  <c r="X33" i="83"/>
  <c r="V33" i="83"/>
  <c r="N33" i="83"/>
  <c r="L33" i="83"/>
  <c r="B33" i="83"/>
  <c r="Z32" i="83"/>
  <c r="X32" i="83"/>
  <c r="V32" i="83"/>
  <c r="R32" i="83"/>
  <c r="N32" i="83"/>
  <c r="L32" i="83"/>
  <c r="B32" i="83"/>
  <c r="Z31" i="83"/>
  <c r="X31" i="83"/>
  <c r="V31" i="83"/>
  <c r="R31" i="83"/>
  <c r="L31" i="83"/>
  <c r="N31" i="83" s="1"/>
  <c r="F31" i="83"/>
  <c r="B31" i="83"/>
  <c r="Z30" i="83"/>
  <c r="X30" i="83"/>
  <c r="N30" i="83"/>
  <c r="L30" i="83"/>
  <c r="B30" i="83"/>
  <c r="V29" i="83"/>
  <c r="T29" i="83"/>
  <c r="P29" i="83"/>
  <c r="X29" i="83" s="1"/>
  <c r="H29" i="83"/>
  <c r="D29" i="83"/>
  <c r="L29" i="83" s="1"/>
  <c r="B29" i="83"/>
  <c r="Z28" i="83"/>
  <c r="X28" i="83"/>
  <c r="V28" i="83"/>
  <c r="L28" i="83"/>
  <c r="N28" i="83" s="1"/>
  <c r="F28" i="83"/>
  <c r="B28" i="83"/>
  <c r="X27" i="83"/>
  <c r="Z27" i="83" s="1"/>
  <c r="V27" i="83"/>
  <c r="R27" i="83"/>
  <c r="L27" i="83"/>
  <c r="N27" i="83" s="1"/>
  <c r="B27" i="83"/>
  <c r="Z26" i="83"/>
  <c r="X26" i="83"/>
  <c r="V26" i="83"/>
  <c r="N26" i="83"/>
  <c r="L26" i="83"/>
  <c r="F26" i="83"/>
  <c r="B26" i="83"/>
  <c r="X25" i="83"/>
  <c r="Z25" i="83" s="1"/>
  <c r="V25" i="83"/>
  <c r="L25" i="83"/>
  <c r="N25" i="83" s="1"/>
  <c r="F25" i="83"/>
  <c r="B25" i="83"/>
  <c r="Z24" i="83"/>
  <c r="X24" i="83"/>
  <c r="V24" i="83"/>
  <c r="L24" i="83"/>
  <c r="N24" i="83" s="1"/>
  <c r="F24" i="83"/>
  <c r="B24" i="83"/>
  <c r="X23" i="83"/>
  <c r="Z23" i="83" s="1"/>
  <c r="V23" i="83"/>
  <c r="R23" i="83"/>
  <c r="N23" i="83"/>
  <c r="L23" i="83"/>
  <c r="B23" i="83"/>
  <c r="Z22" i="83"/>
  <c r="X22" i="83"/>
  <c r="V22" i="83"/>
  <c r="N22" i="83"/>
  <c r="L22" i="83"/>
  <c r="F22" i="83"/>
  <c r="B22" i="83"/>
  <c r="X21" i="83"/>
  <c r="Z21" i="83" s="1"/>
  <c r="V21" i="83"/>
  <c r="L21" i="83"/>
  <c r="N21" i="83" s="1"/>
  <c r="F21" i="83"/>
  <c r="B21" i="83"/>
  <c r="V20" i="83"/>
  <c r="T20" i="83"/>
  <c r="R20" i="83"/>
  <c r="P20" i="83"/>
  <c r="X20" i="83" s="1"/>
  <c r="Z20" i="83" s="1"/>
  <c r="H20" i="83"/>
  <c r="F20" i="83"/>
  <c r="D20" i="83"/>
  <c r="L20" i="83" s="1"/>
  <c r="N20" i="83" s="1"/>
  <c r="B20" i="83"/>
  <c r="T19" i="83"/>
  <c r="R19" i="83"/>
  <c r="P19" i="83"/>
  <c r="X19" i="83" s="1"/>
  <c r="H19" i="83"/>
  <c r="F19" i="83"/>
  <c r="D19" i="83"/>
  <c r="L19" i="83" s="1"/>
  <c r="N19" i="83" s="1"/>
  <c r="P17" i="83"/>
  <c r="Z15" i="83"/>
  <c r="X15" i="83"/>
  <c r="R15" i="83"/>
  <c r="N15" i="83"/>
  <c r="L15" i="83"/>
  <c r="F15" i="83"/>
  <c r="B15" i="83"/>
  <c r="Z14" i="83"/>
  <c r="X14" i="83"/>
  <c r="T14" i="83"/>
  <c r="T17" i="83" s="1"/>
  <c r="R14" i="83"/>
  <c r="P14" i="83"/>
  <c r="N14" i="83"/>
  <c r="L14" i="83"/>
  <c r="H14" i="83"/>
  <c r="F14" i="83"/>
  <c r="D14" i="83"/>
  <c r="Z12" i="83"/>
  <c r="X12" i="83"/>
  <c r="T12" i="83"/>
  <c r="V64" i="83" s="1"/>
  <c r="P12" i="83"/>
  <c r="R70" i="83" s="1"/>
  <c r="H12" i="83"/>
  <c r="J40" i="83" s="1"/>
  <c r="D12" i="83"/>
  <c r="F74" i="83" s="1"/>
  <c r="D6" i="83"/>
  <c r="D4" i="83"/>
  <c r="Z51" i="82"/>
  <c r="X51" i="82"/>
  <c r="L51" i="82"/>
  <c r="N51" i="82" s="1"/>
  <c r="J51" i="82"/>
  <c r="Z47" i="82"/>
  <c r="T47" i="82"/>
  <c r="P47" i="82"/>
  <c r="X47" i="82" s="1"/>
  <c r="N47" i="82"/>
  <c r="H47" i="82"/>
  <c r="D47" i="82"/>
  <c r="L47" i="82" s="1"/>
  <c r="Z45" i="82"/>
  <c r="X45" i="82"/>
  <c r="N45" i="82"/>
  <c r="L45" i="82"/>
  <c r="J45" i="82"/>
  <c r="B45" i="82"/>
  <c r="Z44" i="82"/>
  <c r="X44" i="82"/>
  <c r="N44" i="82"/>
  <c r="L44" i="82"/>
  <c r="B44" i="82"/>
  <c r="Z43" i="82"/>
  <c r="X43" i="82"/>
  <c r="N43" i="82"/>
  <c r="L43" i="82"/>
  <c r="J43" i="82"/>
  <c r="B43" i="82"/>
  <c r="Z42" i="82"/>
  <c r="X42" i="82"/>
  <c r="N42" i="82"/>
  <c r="L42" i="82"/>
  <c r="B42" i="82"/>
  <c r="Z41" i="82"/>
  <c r="X41" i="82"/>
  <c r="N41" i="82"/>
  <c r="L41" i="82"/>
  <c r="J41" i="82"/>
  <c r="B41" i="82"/>
  <c r="Z40" i="82"/>
  <c r="X40" i="82"/>
  <c r="N40" i="82"/>
  <c r="L40" i="82"/>
  <c r="B40" i="82"/>
  <c r="Z39" i="82"/>
  <c r="X39" i="82"/>
  <c r="N39" i="82"/>
  <c r="L39" i="82"/>
  <c r="J39" i="82"/>
  <c r="B39" i="82"/>
  <c r="Z38" i="82"/>
  <c r="X38" i="82"/>
  <c r="N38" i="82"/>
  <c r="L38" i="82"/>
  <c r="B38" i="82"/>
  <c r="Z37" i="82"/>
  <c r="X37" i="82"/>
  <c r="N37" i="82"/>
  <c r="L37" i="82"/>
  <c r="J37" i="82"/>
  <c r="B37" i="82"/>
  <c r="Z36" i="82"/>
  <c r="X36" i="82"/>
  <c r="N36" i="82"/>
  <c r="L36" i="82"/>
  <c r="B36" i="82"/>
  <c r="Z35" i="82"/>
  <c r="T35" i="82"/>
  <c r="P35" i="82"/>
  <c r="X35" i="82" s="1"/>
  <c r="N35" i="82"/>
  <c r="H35" i="82"/>
  <c r="D35" i="82"/>
  <c r="L35" i="82" s="1"/>
  <c r="B35" i="82"/>
  <c r="Z34" i="82"/>
  <c r="X34" i="82"/>
  <c r="N34" i="82"/>
  <c r="L34" i="82"/>
  <c r="J34" i="82"/>
  <c r="B34" i="82"/>
  <c r="Z33" i="82"/>
  <c r="X33" i="82"/>
  <c r="N33" i="82"/>
  <c r="L33" i="82"/>
  <c r="J33" i="82"/>
  <c r="B33" i="82"/>
  <c r="Z32" i="82"/>
  <c r="X32" i="82"/>
  <c r="N32" i="82"/>
  <c r="L32" i="82"/>
  <c r="J32" i="82"/>
  <c r="B32" i="82"/>
  <c r="Z31" i="82"/>
  <c r="X31" i="82"/>
  <c r="N31" i="82"/>
  <c r="L31" i="82"/>
  <c r="J31" i="82"/>
  <c r="B31" i="82"/>
  <c r="Z30" i="82"/>
  <c r="X30" i="82"/>
  <c r="N30" i="82"/>
  <c r="L30" i="82"/>
  <c r="J30" i="82"/>
  <c r="B30" i="82"/>
  <c r="Z29" i="82"/>
  <c r="X29" i="82"/>
  <c r="V29" i="82"/>
  <c r="N29" i="82"/>
  <c r="L29" i="82"/>
  <c r="J29" i="82"/>
  <c r="B29" i="82"/>
  <c r="Z28" i="82"/>
  <c r="X28" i="82"/>
  <c r="N28" i="82"/>
  <c r="L28" i="82"/>
  <c r="J28" i="82"/>
  <c r="B28" i="82"/>
  <c r="Z27" i="82"/>
  <c r="X27" i="82"/>
  <c r="N27" i="82"/>
  <c r="L27" i="82"/>
  <c r="J27" i="82"/>
  <c r="B27" i="82"/>
  <c r="T26" i="82"/>
  <c r="Z26" i="82" s="1"/>
  <c r="P26" i="82"/>
  <c r="H26" i="82"/>
  <c r="J26" i="82" s="1"/>
  <c r="D26" i="82"/>
  <c r="L26" i="82" s="1"/>
  <c r="B26" i="82"/>
  <c r="T25" i="82"/>
  <c r="Z25" i="82" s="1"/>
  <c r="P25" i="82"/>
  <c r="X25" i="82" s="1"/>
  <c r="J25" i="82"/>
  <c r="H25" i="82"/>
  <c r="N25" i="82" s="1"/>
  <c r="D25" i="82"/>
  <c r="J23" i="82"/>
  <c r="H23" i="82"/>
  <c r="Z21" i="82"/>
  <c r="X21" i="82"/>
  <c r="N21" i="82"/>
  <c r="L21" i="82"/>
  <c r="B21" i="82"/>
  <c r="Z20" i="82"/>
  <c r="X20" i="82"/>
  <c r="N20" i="82"/>
  <c r="L20" i="82"/>
  <c r="J20" i="82"/>
  <c r="B20" i="82"/>
  <c r="X19" i="82"/>
  <c r="Z19" i="82" s="1"/>
  <c r="N19" i="82"/>
  <c r="L19" i="82"/>
  <c r="B19" i="82"/>
  <c r="T18" i="82"/>
  <c r="P18" i="82"/>
  <c r="X18" i="82" s="1"/>
  <c r="Z18" i="82" s="1"/>
  <c r="J18" i="82"/>
  <c r="H18" i="82"/>
  <c r="D18" i="82"/>
  <c r="L18" i="82" s="1"/>
  <c r="N18" i="82" s="1"/>
  <c r="Z16" i="82"/>
  <c r="X16" i="82"/>
  <c r="P16" i="82"/>
  <c r="N16" i="82"/>
  <c r="D16" i="82"/>
  <c r="L16" i="82" s="1"/>
  <c r="B16" i="82"/>
  <c r="Z15" i="82"/>
  <c r="X15" i="82"/>
  <c r="P15" i="82"/>
  <c r="N15" i="82"/>
  <c r="D15" i="82"/>
  <c r="L15" i="82" s="1"/>
  <c r="B15" i="82"/>
  <c r="Z14" i="82"/>
  <c r="P14" i="82"/>
  <c r="X14" i="82" s="1"/>
  <c r="N14" i="82"/>
  <c r="D14" i="82"/>
  <c r="L14" i="82" s="1"/>
  <c r="B14" i="82"/>
  <c r="P13" i="82"/>
  <c r="X13" i="82" s="1"/>
  <c r="Z13" i="82" s="1"/>
  <c r="D13" i="82"/>
  <c r="L13" i="82" s="1"/>
  <c r="N13" i="82" s="1"/>
  <c r="B13" i="82"/>
  <c r="T12" i="82"/>
  <c r="V20" i="82" s="1"/>
  <c r="H12" i="82"/>
  <c r="J42" i="82" s="1"/>
  <c r="D12" i="82"/>
  <c r="F45" i="82" s="1"/>
  <c r="D6" i="82"/>
  <c r="D4" i="82"/>
  <c r="F75" i="80"/>
  <c r="Z70" i="80"/>
  <c r="X70" i="80"/>
  <c r="N70" i="80"/>
  <c r="L70" i="80"/>
  <c r="J70" i="80"/>
  <c r="J68" i="80"/>
  <c r="F68" i="80"/>
  <c r="X66" i="80"/>
  <c r="T66" i="80"/>
  <c r="Z66" i="80" s="1"/>
  <c r="P66" i="80"/>
  <c r="L66" i="80"/>
  <c r="J66" i="80"/>
  <c r="H66" i="80"/>
  <c r="N66" i="80" s="1"/>
  <c r="D66" i="80"/>
  <c r="Z64" i="80"/>
  <c r="X64" i="80"/>
  <c r="N64" i="80"/>
  <c r="L64" i="80"/>
  <c r="F64" i="80"/>
  <c r="B64" i="80"/>
  <c r="Z63" i="80"/>
  <c r="X63" i="80"/>
  <c r="T63" i="80"/>
  <c r="P63" i="80"/>
  <c r="N63" i="80"/>
  <c r="L63" i="80"/>
  <c r="H63" i="80"/>
  <c r="D63" i="80"/>
  <c r="B63" i="80"/>
  <c r="Z62" i="80"/>
  <c r="X62" i="80"/>
  <c r="N62" i="80"/>
  <c r="L62" i="80"/>
  <c r="J62" i="80"/>
  <c r="B62" i="80"/>
  <c r="Z61" i="80"/>
  <c r="X61" i="80"/>
  <c r="T61" i="80"/>
  <c r="P61" i="80"/>
  <c r="N61" i="80"/>
  <c r="L61" i="80"/>
  <c r="J61" i="80"/>
  <c r="H61" i="80"/>
  <c r="D61" i="80"/>
  <c r="B61" i="80"/>
  <c r="Z60" i="80"/>
  <c r="X60" i="80"/>
  <c r="N60" i="80"/>
  <c r="L60" i="80"/>
  <c r="J60" i="80"/>
  <c r="F60" i="80"/>
  <c r="B60" i="80"/>
  <c r="Z59" i="80"/>
  <c r="X59" i="80"/>
  <c r="N59" i="80"/>
  <c r="L59" i="80"/>
  <c r="B59" i="80"/>
  <c r="Z58" i="80"/>
  <c r="X58" i="80"/>
  <c r="N58" i="80"/>
  <c r="L58" i="80"/>
  <c r="J58" i="80"/>
  <c r="B58" i="80"/>
  <c r="Z57" i="80"/>
  <c r="X57" i="80"/>
  <c r="N57" i="80"/>
  <c r="L57" i="80"/>
  <c r="B57" i="80"/>
  <c r="Z56" i="80"/>
  <c r="X56" i="80"/>
  <c r="T56" i="80"/>
  <c r="P56" i="80"/>
  <c r="N56" i="80"/>
  <c r="L56" i="80"/>
  <c r="J56" i="80"/>
  <c r="H56" i="80"/>
  <c r="D56" i="80"/>
  <c r="B56" i="80"/>
  <c r="Z55" i="80"/>
  <c r="X55" i="80"/>
  <c r="N55" i="80"/>
  <c r="L55" i="80"/>
  <c r="B55" i="80"/>
  <c r="Z54" i="80"/>
  <c r="X54" i="80"/>
  <c r="N54" i="80"/>
  <c r="L54" i="80"/>
  <c r="F54" i="80"/>
  <c r="B54" i="80"/>
  <c r="Z53" i="80"/>
  <c r="T53" i="80"/>
  <c r="P53" i="80"/>
  <c r="X53" i="80" s="1"/>
  <c r="N53" i="80"/>
  <c r="L53" i="80"/>
  <c r="H53" i="80"/>
  <c r="D53" i="80"/>
  <c r="B53" i="80"/>
  <c r="Z52" i="80"/>
  <c r="X52" i="80"/>
  <c r="N52" i="80"/>
  <c r="L52" i="80"/>
  <c r="J52" i="80"/>
  <c r="B52" i="80"/>
  <c r="Z51" i="80"/>
  <c r="X51" i="80"/>
  <c r="N51" i="80"/>
  <c r="L51" i="80"/>
  <c r="J51" i="80"/>
  <c r="B51" i="80"/>
  <c r="T50" i="80"/>
  <c r="Z50" i="80" s="1"/>
  <c r="P50" i="80"/>
  <c r="H50" i="80"/>
  <c r="N50" i="80" s="1"/>
  <c r="F50" i="80"/>
  <c r="D50" i="80"/>
  <c r="L50" i="80" s="1"/>
  <c r="B50" i="80"/>
  <c r="Z49" i="80"/>
  <c r="X49" i="80"/>
  <c r="N49" i="80"/>
  <c r="L49" i="80"/>
  <c r="B49" i="80"/>
  <c r="Z48" i="80"/>
  <c r="T48" i="80"/>
  <c r="P48" i="80"/>
  <c r="X48" i="80" s="1"/>
  <c r="N48" i="80"/>
  <c r="J48" i="80"/>
  <c r="H48" i="80"/>
  <c r="D48" i="80"/>
  <c r="L48" i="80" s="1"/>
  <c r="B48" i="80"/>
  <c r="Z47" i="80"/>
  <c r="X47" i="80"/>
  <c r="N47" i="80"/>
  <c r="L47" i="80"/>
  <c r="J47" i="80"/>
  <c r="F47" i="80"/>
  <c r="B47" i="80"/>
  <c r="T46" i="80"/>
  <c r="Z46" i="80" s="1"/>
  <c r="P46" i="80"/>
  <c r="L46" i="80"/>
  <c r="H46" i="80"/>
  <c r="N46" i="80" s="1"/>
  <c r="F46" i="80"/>
  <c r="D46" i="80"/>
  <c r="B46" i="80"/>
  <c r="Z45" i="80"/>
  <c r="X45" i="80"/>
  <c r="L45" i="80"/>
  <c r="N45" i="80" s="1"/>
  <c r="J45" i="80"/>
  <c r="F45" i="80"/>
  <c r="B45" i="80"/>
  <c r="T44" i="80"/>
  <c r="Z44" i="80" s="1"/>
  <c r="P44" i="80"/>
  <c r="X44" i="80" s="1"/>
  <c r="N44" i="80"/>
  <c r="H44" i="80"/>
  <c r="D44" i="80"/>
  <c r="L44" i="80" s="1"/>
  <c r="B44" i="80"/>
  <c r="Z43" i="80"/>
  <c r="X43" i="80"/>
  <c r="N43" i="80"/>
  <c r="L43" i="80"/>
  <c r="B43" i="80"/>
  <c r="Z42" i="80"/>
  <c r="T42" i="80"/>
  <c r="P42" i="80"/>
  <c r="X42" i="80" s="1"/>
  <c r="N42" i="80"/>
  <c r="L42" i="80"/>
  <c r="H42" i="80"/>
  <c r="D42" i="80"/>
  <c r="B42" i="80"/>
  <c r="Z41" i="80"/>
  <c r="X41" i="80"/>
  <c r="N41" i="80"/>
  <c r="L41" i="80"/>
  <c r="J41" i="80"/>
  <c r="F41" i="80"/>
  <c r="B41" i="80"/>
  <c r="X40" i="80"/>
  <c r="T40" i="80"/>
  <c r="Z40" i="80" s="1"/>
  <c r="P40" i="80"/>
  <c r="L40" i="80"/>
  <c r="J40" i="80"/>
  <c r="H40" i="80"/>
  <c r="N40" i="80" s="1"/>
  <c r="D40" i="80"/>
  <c r="B40" i="80"/>
  <c r="Z39" i="80"/>
  <c r="X39" i="80"/>
  <c r="N39" i="80"/>
  <c r="L39" i="80"/>
  <c r="J39" i="80"/>
  <c r="F39" i="80"/>
  <c r="B39" i="80"/>
  <c r="Z38" i="80"/>
  <c r="X38" i="80"/>
  <c r="N38" i="80"/>
  <c r="L38" i="80"/>
  <c r="J38" i="80"/>
  <c r="B38" i="80"/>
  <c r="Z37" i="80"/>
  <c r="X37" i="80"/>
  <c r="N37" i="80"/>
  <c r="L37" i="80"/>
  <c r="J37" i="80"/>
  <c r="F37" i="80"/>
  <c r="B37" i="80"/>
  <c r="Z36" i="80"/>
  <c r="X36" i="80"/>
  <c r="N36" i="80"/>
  <c r="L36" i="80"/>
  <c r="B36" i="80"/>
  <c r="Z35" i="80"/>
  <c r="X35" i="80"/>
  <c r="N35" i="80"/>
  <c r="L35" i="80"/>
  <c r="J35" i="80"/>
  <c r="F35" i="80"/>
  <c r="B35" i="80"/>
  <c r="Z34" i="80"/>
  <c r="X34" i="80"/>
  <c r="N34" i="80"/>
  <c r="L34" i="80"/>
  <c r="J34" i="80"/>
  <c r="B34" i="80"/>
  <c r="Z33" i="80"/>
  <c r="X33" i="80"/>
  <c r="N33" i="80"/>
  <c r="L33" i="80"/>
  <c r="J33" i="80"/>
  <c r="F33" i="80"/>
  <c r="B33" i="80"/>
  <c r="Z32" i="80"/>
  <c r="X32" i="80"/>
  <c r="N32" i="80"/>
  <c r="L32" i="80"/>
  <c r="J32" i="80"/>
  <c r="B32" i="80"/>
  <c r="Z31" i="80"/>
  <c r="X31" i="80"/>
  <c r="R31" i="80"/>
  <c r="N31" i="80"/>
  <c r="L31" i="80"/>
  <c r="B31" i="80"/>
  <c r="Z30" i="80"/>
  <c r="X30" i="80"/>
  <c r="N30" i="80"/>
  <c r="L30" i="80"/>
  <c r="J30" i="80"/>
  <c r="B30" i="80"/>
  <c r="Z29" i="80"/>
  <c r="T29" i="80"/>
  <c r="P29" i="80"/>
  <c r="X29" i="80" s="1"/>
  <c r="N29" i="80"/>
  <c r="L29" i="80"/>
  <c r="H29" i="80"/>
  <c r="D29" i="80"/>
  <c r="B29" i="80"/>
  <c r="Z28" i="80"/>
  <c r="X28" i="80"/>
  <c r="N28" i="80"/>
  <c r="L28" i="80"/>
  <c r="J28" i="80"/>
  <c r="F28" i="80"/>
  <c r="B28" i="80"/>
  <c r="Z27" i="80"/>
  <c r="X27" i="80"/>
  <c r="R27" i="80"/>
  <c r="N27" i="80"/>
  <c r="L27" i="80"/>
  <c r="B27" i="80"/>
  <c r="Z26" i="80"/>
  <c r="X26" i="80"/>
  <c r="N26" i="80"/>
  <c r="L26" i="80"/>
  <c r="J26" i="80"/>
  <c r="F26" i="80"/>
  <c r="B26" i="80"/>
  <c r="Z25" i="80"/>
  <c r="X25" i="80"/>
  <c r="N25" i="80"/>
  <c r="L25" i="80"/>
  <c r="F25" i="80"/>
  <c r="B25" i="80"/>
  <c r="Z24" i="80"/>
  <c r="X24" i="80"/>
  <c r="N24" i="80"/>
  <c r="L24" i="80"/>
  <c r="J24" i="80"/>
  <c r="B24" i="80"/>
  <c r="Z23" i="80"/>
  <c r="X23" i="80"/>
  <c r="N23" i="80"/>
  <c r="L23" i="80"/>
  <c r="F23" i="80"/>
  <c r="B23" i="80"/>
  <c r="Z22" i="80"/>
  <c r="X22" i="80"/>
  <c r="N22" i="80"/>
  <c r="L22" i="80"/>
  <c r="J22" i="80"/>
  <c r="F22" i="80"/>
  <c r="B22" i="80"/>
  <c r="Z21" i="80"/>
  <c r="X21" i="80"/>
  <c r="R21" i="80"/>
  <c r="N21" i="80"/>
  <c r="L21" i="80"/>
  <c r="B21" i="80"/>
  <c r="Z20" i="80"/>
  <c r="X20" i="80"/>
  <c r="T20" i="80"/>
  <c r="P20" i="80"/>
  <c r="N20" i="80"/>
  <c r="L20" i="80"/>
  <c r="J20" i="80"/>
  <c r="H20" i="80"/>
  <c r="D20" i="80"/>
  <c r="B20" i="80"/>
  <c r="T19" i="80"/>
  <c r="P19" i="80"/>
  <c r="L19" i="80"/>
  <c r="H19" i="80"/>
  <c r="N19" i="80" s="1"/>
  <c r="F19" i="80"/>
  <c r="D19" i="80"/>
  <c r="P17" i="80"/>
  <c r="P68" i="80" s="1"/>
  <c r="F17" i="80"/>
  <c r="D17" i="80"/>
  <c r="D68" i="80" s="1"/>
  <c r="D72" i="80" s="1"/>
  <c r="Z15" i="80"/>
  <c r="X15" i="80"/>
  <c r="N15" i="80"/>
  <c r="L15" i="80"/>
  <c r="J15" i="80"/>
  <c r="F15" i="80"/>
  <c r="B15" i="80"/>
  <c r="T14" i="80"/>
  <c r="Z14" i="80" s="1"/>
  <c r="R14" i="80"/>
  <c r="P14" i="80"/>
  <c r="J14" i="80"/>
  <c r="H14" i="80"/>
  <c r="H17" i="80" s="1"/>
  <c r="F14" i="80"/>
  <c r="D14" i="80"/>
  <c r="T12" i="80"/>
  <c r="V64" i="80" s="1"/>
  <c r="P12" i="80"/>
  <c r="R64" i="80" s="1"/>
  <c r="N12" i="80"/>
  <c r="H12" i="80"/>
  <c r="J55" i="80" s="1"/>
  <c r="D12" i="80"/>
  <c r="F72" i="80" s="1"/>
  <c r="D6" i="80"/>
  <c r="D4" i="80"/>
  <c r="Z78" i="79"/>
  <c r="X78" i="79"/>
  <c r="L78" i="79"/>
  <c r="N78" i="79" s="1"/>
  <c r="Z74" i="79"/>
  <c r="T74" i="79"/>
  <c r="X74" i="79" s="1"/>
  <c r="P74" i="79"/>
  <c r="N74" i="79"/>
  <c r="H74" i="79"/>
  <c r="L74" i="79" s="1"/>
  <c r="D74" i="79"/>
  <c r="Z72" i="79"/>
  <c r="X72" i="79"/>
  <c r="N72" i="79"/>
  <c r="L72" i="79"/>
  <c r="J72" i="79"/>
  <c r="B72" i="79"/>
  <c r="X71" i="79"/>
  <c r="T71" i="79"/>
  <c r="Z71" i="79" s="1"/>
  <c r="P71" i="79"/>
  <c r="H71" i="79"/>
  <c r="D71" i="79"/>
  <c r="L71" i="79" s="1"/>
  <c r="B71" i="79"/>
  <c r="Z70" i="79"/>
  <c r="X70" i="79"/>
  <c r="N70" i="79"/>
  <c r="L70" i="79"/>
  <c r="B70" i="79"/>
  <c r="Z69" i="79"/>
  <c r="X69" i="79"/>
  <c r="T69" i="79"/>
  <c r="P69" i="79"/>
  <c r="H69" i="79"/>
  <c r="D69" i="79"/>
  <c r="B69" i="79"/>
  <c r="Z68" i="79"/>
  <c r="X68" i="79"/>
  <c r="N68" i="79"/>
  <c r="L68" i="79"/>
  <c r="B68" i="79"/>
  <c r="X67" i="79"/>
  <c r="Z67" i="79" s="1"/>
  <c r="L67" i="79"/>
  <c r="N67" i="79" s="1"/>
  <c r="B67" i="79"/>
  <c r="T66" i="79"/>
  <c r="P66" i="79"/>
  <c r="X66" i="79" s="1"/>
  <c r="Z66" i="79" s="1"/>
  <c r="H66" i="79"/>
  <c r="D66" i="79"/>
  <c r="L66" i="79" s="1"/>
  <c r="N66" i="79" s="1"/>
  <c r="B66" i="79"/>
  <c r="X65" i="79"/>
  <c r="Z65" i="79" s="1"/>
  <c r="N65" i="79"/>
  <c r="L65" i="79"/>
  <c r="J65" i="79"/>
  <c r="B65" i="79"/>
  <c r="X64" i="79"/>
  <c r="Z64" i="79" s="1"/>
  <c r="N64" i="79"/>
  <c r="L64" i="79"/>
  <c r="J64" i="79"/>
  <c r="B64" i="79"/>
  <c r="Z63" i="79"/>
  <c r="X63" i="79"/>
  <c r="L63" i="79"/>
  <c r="N63" i="79" s="1"/>
  <c r="J63" i="79"/>
  <c r="B63" i="79"/>
  <c r="T62" i="79"/>
  <c r="P62" i="79"/>
  <c r="J62" i="79"/>
  <c r="H62" i="79"/>
  <c r="D62" i="79"/>
  <c r="B62" i="79"/>
  <c r="X61" i="79"/>
  <c r="Z61" i="79" s="1"/>
  <c r="L61" i="79"/>
  <c r="N61" i="79" s="1"/>
  <c r="B61" i="79"/>
  <c r="Z60" i="79"/>
  <c r="T60" i="79"/>
  <c r="P60" i="79"/>
  <c r="X60" i="79" s="1"/>
  <c r="H60" i="79"/>
  <c r="D60" i="79"/>
  <c r="B60" i="79"/>
  <c r="X59" i="79"/>
  <c r="Z59" i="79" s="1"/>
  <c r="L59" i="79"/>
  <c r="N59" i="79" s="1"/>
  <c r="B59" i="79"/>
  <c r="X58" i="79"/>
  <c r="Z58" i="79" s="1"/>
  <c r="T58" i="79"/>
  <c r="P58" i="79"/>
  <c r="H58" i="79"/>
  <c r="D58" i="79"/>
  <c r="L58" i="79" s="1"/>
  <c r="N58" i="79" s="1"/>
  <c r="B58" i="79"/>
  <c r="Z57" i="79"/>
  <c r="X57" i="79"/>
  <c r="L57" i="79"/>
  <c r="N57" i="79" s="1"/>
  <c r="J57" i="79"/>
  <c r="B57" i="79"/>
  <c r="Z56" i="79"/>
  <c r="X56" i="79"/>
  <c r="N56" i="79"/>
  <c r="L56" i="79"/>
  <c r="B56" i="79"/>
  <c r="X55" i="79"/>
  <c r="Z55" i="79" s="1"/>
  <c r="T55" i="79"/>
  <c r="P55" i="79"/>
  <c r="H55" i="79"/>
  <c r="D55" i="79"/>
  <c r="B55" i="79"/>
  <c r="Z54" i="79"/>
  <c r="X54" i="79"/>
  <c r="N54" i="79"/>
  <c r="L54" i="79"/>
  <c r="J54" i="79"/>
  <c r="B54" i="79"/>
  <c r="T53" i="79"/>
  <c r="P53" i="79"/>
  <c r="X53" i="79" s="1"/>
  <c r="Z53" i="79" s="1"/>
  <c r="N53" i="79"/>
  <c r="L53" i="79"/>
  <c r="H53" i="79"/>
  <c r="D53" i="79"/>
  <c r="B53" i="79"/>
  <c r="X52" i="79"/>
  <c r="Z52" i="79" s="1"/>
  <c r="L52" i="79"/>
  <c r="N52" i="79" s="1"/>
  <c r="J52" i="79"/>
  <c r="B52" i="79"/>
  <c r="T51" i="79"/>
  <c r="P51" i="79"/>
  <c r="X51" i="79" s="1"/>
  <c r="H51" i="79"/>
  <c r="D51" i="79"/>
  <c r="L51" i="79" s="1"/>
  <c r="B51" i="79"/>
  <c r="Z50" i="79"/>
  <c r="X50" i="79"/>
  <c r="N50" i="79"/>
  <c r="L50" i="79"/>
  <c r="J50" i="79"/>
  <c r="B50" i="79"/>
  <c r="X49" i="79"/>
  <c r="T49" i="79"/>
  <c r="Z49" i="79" s="1"/>
  <c r="P49" i="79"/>
  <c r="H49" i="79"/>
  <c r="D49" i="79"/>
  <c r="L49" i="79" s="1"/>
  <c r="B49" i="79"/>
  <c r="Z48" i="79"/>
  <c r="X48" i="79"/>
  <c r="N48" i="79"/>
  <c r="L48" i="79"/>
  <c r="B48" i="79"/>
  <c r="Z47" i="79"/>
  <c r="X47" i="79"/>
  <c r="T47" i="79"/>
  <c r="P47" i="79"/>
  <c r="L47" i="79"/>
  <c r="H47" i="79"/>
  <c r="N47" i="79" s="1"/>
  <c r="D47" i="79"/>
  <c r="B47" i="79"/>
  <c r="X46" i="79"/>
  <c r="Z46" i="79" s="1"/>
  <c r="N46" i="79"/>
  <c r="L46" i="79"/>
  <c r="B46" i="79"/>
  <c r="X45" i="79"/>
  <c r="T45" i="79"/>
  <c r="P45" i="79"/>
  <c r="H45" i="79"/>
  <c r="D45" i="79"/>
  <c r="B45" i="79"/>
  <c r="Z44" i="79"/>
  <c r="X44" i="79"/>
  <c r="N44" i="79"/>
  <c r="L44" i="79"/>
  <c r="J44" i="79"/>
  <c r="B44" i="79"/>
  <c r="Z43" i="79"/>
  <c r="X43" i="79"/>
  <c r="N43" i="79"/>
  <c r="L43" i="79"/>
  <c r="J43" i="79"/>
  <c r="B43" i="79"/>
  <c r="X42" i="79"/>
  <c r="Z42" i="79" s="1"/>
  <c r="N42" i="79"/>
  <c r="L42" i="79"/>
  <c r="J42" i="79"/>
  <c r="B42" i="79"/>
  <c r="Z41" i="79"/>
  <c r="X41" i="79"/>
  <c r="N41" i="79"/>
  <c r="L41" i="79"/>
  <c r="J41" i="79"/>
  <c r="B41" i="79"/>
  <c r="Z40" i="79"/>
  <c r="X40" i="79"/>
  <c r="N40" i="79"/>
  <c r="L40" i="79"/>
  <c r="B40" i="79"/>
  <c r="Z39" i="79"/>
  <c r="X39" i="79"/>
  <c r="N39" i="79"/>
  <c r="L39" i="79"/>
  <c r="J39" i="79"/>
  <c r="B39" i="79"/>
  <c r="X38" i="79"/>
  <c r="Z38" i="79" s="1"/>
  <c r="N38" i="79"/>
  <c r="L38" i="79"/>
  <c r="B38" i="79"/>
  <c r="Z37" i="79"/>
  <c r="X37" i="79"/>
  <c r="N37" i="79"/>
  <c r="L37" i="79"/>
  <c r="J37" i="79"/>
  <c r="B37" i="79"/>
  <c r="Z36" i="79"/>
  <c r="X36" i="79"/>
  <c r="N36" i="79"/>
  <c r="L36" i="79"/>
  <c r="J36" i="79"/>
  <c r="B36" i="79"/>
  <c r="Z35" i="79"/>
  <c r="X35" i="79"/>
  <c r="N35" i="79"/>
  <c r="L35" i="79"/>
  <c r="J35" i="79"/>
  <c r="B35" i="79"/>
  <c r="X34" i="79"/>
  <c r="Z34" i="79" s="1"/>
  <c r="T34" i="79"/>
  <c r="P34" i="79"/>
  <c r="L34" i="79"/>
  <c r="N34" i="79" s="1"/>
  <c r="H34" i="79"/>
  <c r="D34" i="79"/>
  <c r="B34" i="79"/>
  <c r="Z33" i="79"/>
  <c r="X33" i="79"/>
  <c r="N33" i="79"/>
  <c r="L33" i="79"/>
  <c r="J33" i="79"/>
  <c r="B33" i="79"/>
  <c r="Z32" i="79"/>
  <c r="X32" i="79"/>
  <c r="L32" i="79"/>
  <c r="N32" i="79" s="1"/>
  <c r="J32" i="79"/>
  <c r="B32" i="79"/>
  <c r="Z31" i="79"/>
  <c r="X31" i="79"/>
  <c r="N31" i="79"/>
  <c r="L31" i="79"/>
  <c r="J31" i="79"/>
  <c r="B31" i="79"/>
  <c r="Z30" i="79"/>
  <c r="X30" i="79"/>
  <c r="V30" i="79"/>
  <c r="N30" i="79"/>
  <c r="L30" i="79"/>
  <c r="J30" i="79"/>
  <c r="B30" i="79"/>
  <c r="Z29" i="79"/>
  <c r="X29" i="79"/>
  <c r="N29" i="79"/>
  <c r="L29" i="79"/>
  <c r="J29" i="79"/>
  <c r="B29" i="79"/>
  <c r="Z28" i="79"/>
  <c r="X28" i="79"/>
  <c r="N28" i="79"/>
  <c r="L28" i="79"/>
  <c r="B28" i="79"/>
  <c r="Z27" i="79"/>
  <c r="X27" i="79"/>
  <c r="N27" i="79"/>
  <c r="L27" i="79"/>
  <c r="J27" i="79"/>
  <c r="B27" i="79"/>
  <c r="Z26" i="79"/>
  <c r="X26" i="79"/>
  <c r="N26" i="79"/>
  <c r="L26" i="79"/>
  <c r="J26" i="79"/>
  <c r="B26" i="79"/>
  <c r="X25" i="79"/>
  <c r="Z25" i="79" s="1"/>
  <c r="V25" i="79"/>
  <c r="L25" i="79"/>
  <c r="N25" i="79" s="1"/>
  <c r="B25" i="79"/>
  <c r="T24" i="79"/>
  <c r="P24" i="79"/>
  <c r="J24" i="79"/>
  <c r="H24" i="79"/>
  <c r="D24" i="79"/>
  <c r="B24" i="79"/>
  <c r="V23" i="79"/>
  <c r="T23" i="79"/>
  <c r="P23" i="79"/>
  <c r="H23" i="79"/>
  <c r="D23" i="79"/>
  <c r="L23" i="79" s="1"/>
  <c r="Z19" i="79"/>
  <c r="X19" i="79"/>
  <c r="N19" i="79"/>
  <c r="L19" i="79"/>
  <c r="B19" i="79"/>
  <c r="X18" i="79"/>
  <c r="Z18" i="79" s="1"/>
  <c r="N18" i="79"/>
  <c r="L18" i="79"/>
  <c r="J18" i="79"/>
  <c r="B18" i="79"/>
  <c r="V17" i="79"/>
  <c r="T17" i="79"/>
  <c r="P17" i="79"/>
  <c r="H17" i="79"/>
  <c r="D17" i="79"/>
  <c r="L17" i="79" s="1"/>
  <c r="Z15" i="79"/>
  <c r="P15" i="79"/>
  <c r="X15" i="79" s="1"/>
  <c r="N15" i="79"/>
  <c r="D15" i="79"/>
  <c r="D12" i="79" s="1"/>
  <c r="B15" i="79"/>
  <c r="P14" i="79"/>
  <c r="X14" i="79" s="1"/>
  <c r="Z14" i="79" s="1"/>
  <c r="L14" i="79"/>
  <c r="N14" i="79" s="1"/>
  <c r="D14" i="79"/>
  <c r="B14" i="79"/>
  <c r="Z13" i="79"/>
  <c r="X13" i="79"/>
  <c r="P13" i="79"/>
  <c r="N13" i="79"/>
  <c r="D13" i="79"/>
  <c r="L13" i="79" s="1"/>
  <c r="B13" i="79"/>
  <c r="T12" i="79"/>
  <c r="V69" i="79" s="1"/>
  <c r="H12" i="79"/>
  <c r="J78" i="79" s="1"/>
  <c r="D6" i="79"/>
  <c r="D4" i="79"/>
  <c r="Z98" i="76"/>
  <c r="X98" i="76"/>
  <c r="V98" i="76"/>
  <c r="N98" i="76"/>
  <c r="L98" i="76"/>
  <c r="Z94" i="76"/>
  <c r="X94" i="76"/>
  <c r="V94" i="76"/>
  <c r="P94" i="76"/>
  <c r="D94" i="76"/>
  <c r="L94" i="76" s="1"/>
  <c r="N94" i="76" s="1"/>
  <c r="B94" i="76"/>
  <c r="Z93" i="76"/>
  <c r="V93" i="76"/>
  <c r="P93" i="76"/>
  <c r="X93" i="76" s="1"/>
  <c r="N93" i="76"/>
  <c r="D93" i="76"/>
  <c r="L93" i="76" s="1"/>
  <c r="B93" i="76"/>
  <c r="T92" i="76"/>
  <c r="P92" i="76"/>
  <c r="X92" i="76" s="1"/>
  <c r="H92" i="76"/>
  <c r="D92" i="76"/>
  <c r="L92" i="76" s="1"/>
  <c r="X90" i="76"/>
  <c r="Z90" i="76" s="1"/>
  <c r="L90" i="76"/>
  <c r="N90" i="76" s="1"/>
  <c r="B90" i="76"/>
  <c r="Z89" i="76"/>
  <c r="X89" i="76"/>
  <c r="V89" i="76"/>
  <c r="T89" i="76"/>
  <c r="P89" i="76"/>
  <c r="N89" i="76"/>
  <c r="L89" i="76"/>
  <c r="H89" i="76"/>
  <c r="D89" i="76"/>
  <c r="B89" i="76"/>
  <c r="X88" i="76"/>
  <c r="Z88" i="76" s="1"/>
  <c r="L88" i="76"/>
  <c r="N88" i="76" s="1"/>
  <c r="B88" i="76"/>
  <c r="X87" i="76"/>
  <c r="Z87" i="76" s="1"/>
  <c r="V87" i="76"/>
  <c r="N87" i="76"/>
  <c r="L87" i="76"/>
  <c r="B87" i="76"/>
  <c r="Z86" i="76"/>
  <c r="X86" i="76"/>
  <c r="N86" i="76"/>
  <c r="L86" i="76"/>
  <c r="B86" i="76"/>
  <c r="V85" i="76"/>
  <c r="T85" i="76"/>
  <c r="P85" i="76"/>
  <c r="H85" i="76"/>
  <c r="D85" i="76"/>
  <c r="B85" i="76"/>
  <c r="X84" i="76"/>
  <c r="Z84" i="76" s="1"/>
  <c r="L84" i="76"/>
  <c r="N84" i="76" s="1"/>
  <c r="B84" i="76"/>
  <c r="Z83" i="76"/>
  <c r="T83" i="76"/>
  <c r="P83" i="76"/>
  <c r="X83" i="76" s="1"/>
  <c r="H83" i="76"/>
  <c r="D83" i="76"/>
  <c r="L83" i="76" s="1"/>
  <c r="N83" i="76" s="1"/>
  <c r="B83" i="76"/>
  <c r="X82" i="76"/>
  <c r="Z82" i="76" s="1"/>
  <c r="N82" i="76"/>
  <c r="L82" i="76"/>
  <c r="B82" i="76"/>
  <c r="X81" i="76"/>
  <c r="Z81" i="76" s="1"/>
  <c r="V81" i="76"/>
  <c r="T81" i="76"/>
  <c r="P81" i="76"/>
  <c r="N81" i="76"/>
  <c r="L81" i="76"/>
  <c r="H81" i="76"/>
  <c r="D81" i="76"/>
  <c r="B81" i="76"/>
  <c r="Z80" i="76"/>
  <c r="X80" i="76"/>
  <c r="L80" i="76"/>
  <c r="N80" i="76" s="1"/>
  <c r="B80" i="76"/>
  <c r="V79" i="76"/>
  <c r="T79" i="76"/>
  <c r="P79" i="76"/>
  <c r="H79" i="76"/>
  <c r="D79" i="76"/>
  <c r="B79" i="76"/>
  <c r="Z78" i="76"/>
  <c r="X78" i="76"/>
  <c r="V78" i="76"/>
  <c r="N78" i="76"/>
  <c r="L78" i="76"/>
  <c r="B78" i="76"/>
  <c r="Z77" i="76"/>
  <c r="X77" i="76"/>
  <c r="L77" i="76"/>
  <c r="N77" i="76" s="1"/>
  <c r="B77" i="76"/>
  <c r="X76" i="76"/>
  <c r="V76" i="76"/>
  <c r="T76" i="76"/>
  <c r="P76" i="76"/>
  <c r="L76" i="76"/>
  <c r="H76" i="76"/>
  <c r="D76" i="76"/>
  <c r="B76" i="76"/>
  <c r="X75" i="76"/>
  <c r="Z75" i="76" s="1"/>
  <c r="V75" i="76"/>
  <c r="L75" i="76"/>
  <c r="N75" i="76" s="1"/>
  <c r="B75" i="76"/>
  <c r="T74" i="76"/>
  <c r="P74" i="76"/>
  <c r="H74" i="76"/>
  <c r="D74" i="76"/>
  <c r="B74" i="76"/>
  <c r="X73" i="76"/>
  <c r="Z73" i="76" s="1"/>
  <c r="V73" i="76"/>
  <c r="N73" i="76"/>
  <c r="L73" i="76"/>
  <c r="B73" i="76"/>
  <c r="Z72" i="76"/>
  <c r="X72" i="76"/>
  <c r="T72" i="76"/>
  <c r="P72" i="76"/>
  <c r="L72" i="76"/>
  <c r="N72" i="76" s="1"/>
  <c r="H72" i="76"/>
  <c r="D72" i="76"/>
  <c r="B72" i="76"/>
  <c r="Z71" i="76"/>
  <c r="X71" i="76"/>
  <c r="N71" i="76"/>
  <c r="L71" i="76"/>
  <c r="B71" i="76"/>
  <c r="T70" i="76"/>
  <c r="X70" i="76" s="1"/>
  <c r="P70" i="76"/>
  <c r="L70" i="76"/>
  <c r="H70" i="76"/>
  <c r="D70" i="76"/>
  <c r="B70" i="76"/>
  <c r="Z69" i="76"/>
  <c r="X69" i="76"/>
  <c r="V69" i="76"/>
  <c r="L69" i="76"/>
  <c r="N69" i="76" s="1"/>
  <c r="B69" i="76"/>
  <c r="T68" i="76"/>
  <c r="P68" i="76"/>
  <c r="H68" i="76"/>
  <c r="D68" i="76"/>
  <c r="L68" i="76" s="1"/>
  <c r="B68" i="76"/>
  <c r="Z67" i="76"/>
  <c r="X67" i="76"/>
  <c r="V67" i="76"/>
  <c r="N67" i="76"/>
  <c r="L67" i="76"/>
  <c r="B67" i="76"/>
  <c r="Z66" i="76"/>
  <c r="X66" i="76"/>
  <c r="N66" i="76"/>
  <c r="L66" i="76"/>
  <c r="B66" i="76"/>
  <c r="Z65" i="76"/>
  <c r="X65" i="76"/>
  <c r="V65" i="76"/>
  <c r="N65" i="76"/>
  <c r="L65" i="76"/>
  <c r="B65" i="76"/>
  <c r="X64" i="76"/>
  <c r="Z64" i="76" s="1"/>
  <c r="L64" i="76"/>
  <c r="N64" i="76" s="1"/>
  <c r="B64" i="76"/>
  <c r="Z63" i="76"/>
  <c r="X63" i="76"/>
  <c r="V63" i="76"/>
  <c r="N63" i="76"/>
  <c r="L63" i="76"/>
  <c r="B63" i="76"/>
  <c r="Z62" i="76"/>
  <c r="X62" i="76"/>
  <c r="N62" i="76"/>
  <c r="L62" i="76"/>
  <c r="B62" i="76"/>
  <c r="X61" i="76"/>
  <c r="Z61" i="76" s="1"/>
  <c r="V61" i="76"/>
  <c r="N61" i="76"/>
  <c r="L61" i="76"/>
  <c r="B61" i="76"/>
  <c r="Z60" i="76"/>
  <c r="X60" i="76"/>
  <c r="N60" i="76"/>
  <c r="L60" i="76"/>
  <c r="B60" i="76"/>
  <c r="X59" i="76"/>
  <c r="Z59" i="76" s="1"/>
  <c r="N59" i="76"/>
  <c r="L59" i="76"/>
  <c r="B59" i="76"/>
  <c r="Z58" i="76"/>
  <c r="X58" i="76"/>
  <c r="N58" i="76"/>
  <c r="L58" i="76"/>
  <c r="B58" i="76"/>
  <c r="T57" i="76"/>
  <c r="P57" i="76"/>
  <c r="H57" i="76"/>
  <c r="D57" i="76"/>
  <c r="B57" i="76"/>
  <c r="X56" i="76"/>
  <c r="Z56" i="76" s="1"/>
  <c r="V56" i="76"/>
  <c r="L56" i="76"/>
  <c r="N56" i="76" s="1"/>
  <c r="B56" i="76"/>
  <c r="Z55" i="76"/>
  <c r="X55" i="76"/>
  <c r="N55" i="76"/>
  <c r="L55" i="76"/>
  <c r="B55" i="76"/>
  <c r="X54" i="76"/>
  <c r="Z54" i="76" s="1"/>
  <c r="V54" i="76"/>
  <c r="L54" i="76"/>
  <c r="N54" i="76" s="1"/>
  <c r="B54" i="76"/>
  <c r="Z53" i="76"/>
  <c r="X53" i="76"/>
  <c r="N53" i="76"/>
  <c r="L53" i="76"/>
  <c r="B53" i="76"/>
  <c r="Z52" i="76"/>
  <c r="X52" i="76"/>
  <c r="N52" i="76"/>
  <c r="L52" i="76"/>
  <c r="B52" i="76"/>
  <c r="Z51" i="76"/>
  <c r="X51" i="76"/>
  <c r="N51" i="76"/>
  <c r="L51" i="76"/>
  <c r="B51" i="76"/>
  <c r="X50" i="76"/>
  <c r="Z50" i="76" s="1"/>
  <c r="V50" i="76"/>
  <c r="L50" i="76"/>
  <c r="N50" i="76" s="1"/>
  <c r="B50" i="76"/>
  <c r="Z49" i="76"/>
  <c r="X49" i="76"/>
  <c r="L49" i="76"/>
  <c r="N49" i="76" s="1"/>
  <c r="B49" i="76"/>
  <c r="X48" i="76"/>
  <c r="Z48" i="76" s="1"/>
  <c r="L48" i="76"/>
  <c r="N48" i="76" s="1"/>
  <c r="B48" i="76"/>
  <c r="Z47" i="76"/>
  <c r="X47" i="76"/>
  <c r="N47" i="76"/>
  <c r="L47" i="76"/>
  <c r="B47" i="76"/>
  <c r="X46" i="76"/>
  <c r="V46" i="76"/>
  <c r="T46" i="76"/>
  <c r="Z46" i="76" s="1"/>
  <c r="P46" i="76"/>
  <c r="H46" i="76"/>
  <c r="D46" i="76"/>
  <c r="B46" i="76"/>
  <c r="V45" i="76"/>
  <c r="T45" i="76"/>
  <c r="P45" i="76"/>
  <c r="X45" i="76" s="1"/>
  <c r="Z45" i="76" s="1"/>
  <c r="H45" i="76"/>
  <c r="D45" i="76"/>
  <c r="L45" i="76" s="1"/>
  <c r="N45" i="76" s="1"/>
  <c r="Z41" i="76"/>
  <c r="X41" i="76"/>
  <c r="V41" i="76"/>
  <c r="N41" i="76"/>
  <c r="L41" i="76"/>
  <c r="B41" i="76"/>
  <c r="Z40" i="76"/>
  <c r="X40" i="76"/>
  <c r="V40" i="76"/>
  <c r="N40" i="76"/>
  <c r="L40" i="76"/>
  <c r="B40" i="76"/>
  <c r="Z39" i="76"/>
  <c r="X39" i="76"/>
  <c r="V39" i="76"/>
  <c r="N39" i="76"/>
  <c r="L39" i="76"/>
  <c r="B39" i="76"/>
  <c r="Z38" i="76"/>
  <c r="X38" i="76"/>
  <c r="V38" i="76"/>
  <c r="N38" i="76"/>
  <c r="L38" i="76"/>
  <c r="B38" i="76"/>
  <c r="Z37" i="76"/>
  <c r="X37" i="76"/>
  <c r="V37" i="76"/>
  <c r="N37" i="76"/>
  <c r="L37" i="76"/>
  <c r="B37" i="76"/>
  <c r="Z36" i="76"/>
  <c r="X36" i="76"/>
  <c r="V36" i="76"/>
  <c r="N36" i="76"/>
  <c r="L36" i="76"/>
  <c r="B36" i="76"/>
  <c r="Z35" i="76"/>
  <c r="X35" i="76"/>
  <c r="V35" i="76"/>
  <c r="N35" i="76"/>
  <c r="L35" i="76"/>
  <c r="B35" i="76"/>
  <c r="Z34" i="76"/>
  <c r="X34" i="76"/>
  <c r="V34" i="76"/>
  <c r="N34" i="76"/>
  <c r="L34" i="76"/>
  <c r="B34" i="76"/>
  <c r="Z33" i="76"/>
  <c r="X33" i="76"/>
  <c r="V33" i="76"/>
  <c r="N33" i="76"/>
  <c r="L33" i="76"/>
  <c r="B33" i="76"/>
  <c r="X32" i="76"/>
  <c r="Z32" i="76" s="1"/>
  <c r="V32" i="76"/>
  <c r="N32" i="76"/>
  <c r="L32" i="76"/>
  <c r="B32" i="76"/>
  <c r="X31" i="76"/>
  <c r="Z31" i="76" s="1"/>
  <c r="V31" i="76"/>
  <c r="T31" i="76"/>
  <c r="P31" i="76"/>
  <c r="H31" i="76"/>
  <c r="D31" i="76"/>
  <c r="L31" i="76" s="1"/>
  <c r="N31" i="76" s="1"/>
  <c r="Z29" i="76"/>
  <c r="P29" i="76"/>
  <c r="X29" i="76" s="1"/>
  <c r="N29" i="76"/>
  <c r="D29" i="76"/>
  <c r="L29" i="76" s="1"/>
  <c r="B29" i="76"/>
  <c r="Z28" i="76"/>
  <c r="X28" i="76"/>
  <c r="P28" i="76"/>
  <c r="N28" i="76"/>
  <c r="D28" i="76"/>
  <c r="L28" i="76" s="1"/>
  <c r="B28" i="76"/>
  <c r="Z27" i="76"/>
  <c r="P27" i="76"/>
  <c r="X27" i="76" s="1"/>
  <c r="N27" i="76"/>
  <c r="D27" i="76"/>
  <c r="L27" i="76" s="1"/>
  <c r="B27" i="76"/>
  <c r="Z26" i="76"/>
  <c r="P26" i="76"/>
  <c r="X26" i="76" s="1"/>
  <c r="N26" i="76"/>
  <c r="D26" i="76"/>
  <c r="L26" i="76" s="1"/>
  <c r="B26" i="76"/>
  <c r="Z25" i="76"/>
  <c r="P25" i="76"/>
  <c r="X25" i="76" s="1"/>
  <c r="N25" i="76"/>
  <c r="L25" i="76"/>
  <c r="D25" i="76"/>
  <c r="B25" i="76"/>
  <c r="Z24" i="76"/>
  <c r="X24" i="76"/>
  <c r="P24" i="76"/>
  <c r="N24" i="76"/>
  <c r="D24" i="76"/>
  <c r="L24" i="76" s="1"/>
  <c r="B24" i="76"/>
  <c r="Z23" i="76"/>
  <c r="X23" i="76"/>
  <c r="P23" i="76"/>
  <c r="N23" i="76"/>
  <c r="D23" i="76"/>
  <c r="L23" i="76" s="1"/>
  <c r="B23" i="76"/>
  <c r="Z22" i="76"/>
  <c r="X22" i="76"/>
  <c r="P22" i="76"/>
  <c r="N22" i="76"/>
  <c r="D22" i="76"/>
  <c r="L22" i="76" s="1"/>
  <c r="B22" i="76"/>
  <c r="Z21" i="76"/>
  <c r="P21" i="76"/>
  <c r="X21" i="76" s="1"/>
  <c r="N21" i="76"/>
  <c r="D21" i="76"/>
  <c r="L21" i="76" s="1"/>
  <c r="B21" i="76"/>
  <c r="Z20" i="76"/>
  <c r="P20" i="76"/>
  <c r="X20" i="76" s="1"/>
  <c r="N20" i="76"/>
  <c r="D20" i="76"/>
  <c r="L20" i="76" s="1"/>
  <c r="B20" i="76"/>
  <c r="X19" i="76"/>
  <c r="Z19" i="76" s="1"/>
  <c r="P19" i="76"/>
  <c r="N19" i="76"/>
  <c r="L19" i="76"/>
  <c r="D19" i="76"/>
  <c r="B19" i="76"/>
  <c r="Z18" i="76"/>
  <c r="P18" i="76"/>
  <c r="X18" i="76" s="1"/>
  <c r="N18" i="76"/>
  <c r="D18" i="76"/>
  <c r="L18" i="76" s="1"/>
  <c r="B18" i="76"/>
  <c r="Z17" i="76"/>
  <c r="P17" i="76"/>
  <c r="X17" i="76" s="1"/>
  <c r="N17" i="76"/>
  <c r="D17" i="76"/>
  <c r="L17" i="76" s="1"/>
  <c r="B17" i="76"/>
  <c r="Z16" i="76"/>
  <c r="X16" i="76"/>
  <c r="P16" i="76"/>
  <c r="N16" i="76"/>
  <c r="D16" i="76"/>
  <c r="L16" i="76" s="1"/>
  <c r="B16" i="76"/>
  <c r="Z15" i="76"/>
  <c r="P15" i="76"/>
  <c r="X15" i="76" s="1"/>
  <c r="N15" i="76"/>
  <c r="D15" i="76"/>
  <c r="L15" i="76" s="1"/>
  <c r="B15" i="76"/>
  <c r="Z14" i="76"/>
  <c r="P14" i="76"/>
  <c r="X14" i="76" s="1"/>
  <c r="N14" i="76"/>
  <c r="D14" i="76"/>
  <c r="L14" i="76" s="1"/>
  <c r="B14" i="76"/>
  <c r="P13" i="76"/>
  <c r="P12" i="76" s="1"/>
  <c r="L13" i="76"/>
  <c r="N13" i="76" s="1"/>
  <c r="D13" i="76"/>
  <c r="B13" i="76"/>
  <c r="T12" i="76"/>
  <c r="V48" i="76" s="1"/>
  <c r="H12" i="76"/>
  <c r="J71" i="76" s="1"/>
  <c r="D6" i="76"/>
  <c r="D4" i="76"/>
  <c r="X80" i="75"/>
  <c r="Z80" i="75" s="1"/>
  <c r="L80" i="75"/>
  <c r="N80" i="75" s="1"/>
  <c r="X76" i="75"/>
  <c r="Z76" i="75" s="1"/>
  <c r="P76" i="75"/>
  <c r="L76" i="75"/>
  <c r="N76" i="75" s="1"/>
  <c r="D76" i="75"/>
  <c r="D75" i="75" s="1"/>
  <c r="B76" i="75"/>
  <c r="X75" i="75"/>
  <c r="Z75" i="75" s="1"/>
  <c r="T75" i="75"/>
  <c r="P75" i="75"/>
  <c r="H75" i="75"/>
  <c r="Z73" i="75"/>
  <c r="X73" i="75"/>
  <c r="N73" i="75"/>
  <c r="L73" i="75"/>
  <c r="B73" i="75"/>
  <c r="Z72" i="75"/>
  <c r="T72" i="75"/>
  <c r="P72" i="75"/>
  <c r="X72" i="75" s="1"/>
  <c r="N72" i="75"/>
  <c r="H72" i="75"/>
  <c r="L72" i="75" s="1"/>
  <c r="D72" i="75"/>
  <c r="B72" i="75"/>
  <c r="Z71" i="75"/>
  <c r="X71" i="75"/>
  <c r="L71" i="75"/>
  <c r="N71" i="75" s="1"/>
  <c r="B71" i="75"/>
  <c r="T70" i="75"/>
  <c r="P70" i="75"/>
  <c r="X70" i="75" s="1"/>
  <c r="Z70" i="75" s="1"/>
  <c r="H70" i="75"/>
  <c r="D70" i="75"/>
  <c r="L70" i="75" s="1"/>
  <c r="N70" i="75" s="1"/>
  <c r="B70" i="75"/>
  <c r="X69" i="75"/>
  <c r="Z69" i="75" s="1"/>
  <c r="L69" i="75"/>
  <c r="N69" i="75" s="1"/>
  <c r="B69" i="75"/>
  <c r="X68" i="75"/>
  <c r="Z68" i="75" s="1"/>
  <c r="N68" i="75"/>
  <c r="L68" i="75"/>
  <c r="B68" i="75"/>
  <c r="X67" i="75"/>
  <c r="Z67" i="75" s="1"/>
  <c r="L67" i="75"/>
  <c r="N67" i="75" s="1"/>
  <c r="B67" i="75"/>
  <c r="Z66" i="75"/>
  <c r="X66" i="75"/>
  <c r="N66" i="75"/>
  <c r="L66" i="75"/>
  <c r="B66" i="75"/>
  <c r="T65" i="75"/>
  <c r="P65" i="75"/>
  <c r="X65" i="75" s="1"/>
  <c r="Z65" i="75" s="1"/>
  <c r="H65" i="75"/>
  <c r="D65" i="75"/>
  <c r="L65" i="75" s="1"/>
  <c r="N65" i="75" s="1"/>
  <c r="B65" i="75"/>
  <c r="X64" i="75"/>
  <c r="Z64" i="75" s="1"/>
  <c r="N64" i="75"/>
  <c r="L64" i="75"/>
  <c r="B64" i="75"/>
  <c r="T63" i="75"/>
  <c r="P63" i="75"/>
  <c r="L63" i="75"/>
  <c r="N63" i="75" s="1"/>
  <c r="H63" i="75"/>
  <c r="D63" i="75"/>
  <c r="B63" i="75"/>
  <c r="Z62" i="75"/>
  <c r="X62" i="75"/>
  <c r="L62" i="75"/>
  <c r="N62" i="75" s="1"/>
  <c r="B62" i="75"/>
  <c r="T61" i="75"/>
  <c r="P61" i="75"/>
  <c r="X61" i="75" s="1"/>
  <c r="Z61" i="75" s="1"/>
  <c r="H61" i="75"/>
  <c r="D61" i="75"/>
  <c r="L61" i="75" s="1"/>
  <c r="N61" i="75" s="1"/>
  <c r="B61" i="75"/>
  <c r="X60" i="75"/>
  <c r="Z60" i="75" s="1"/>
  <c r="L60" i="75"/>
  <c r="N60" i="75" s="1"/>
  <c r="B60" i="75"/>
  <c r="Z59" i="75"/>
  <c r="X59" i="75"/>
  <c r="L59" i="75"/>
  <c r="N59" i="75" s="1"/>
  <c r="B59" i="75"/>
  <c r="T58" i="75"/>
  <c r="P58" i="75"/>
  <c r="X58" i="75" s="1"/>
  <c r="H58" i="75"/>
  <c r="D58" i="75"/>
  <c r="L58" i="75" s="1"/>
  <c r="B58" i="75"/>
  <c r="X57" i="75"/>
  <c r="Z57" i="75" s="1"/>
  <c r="N57" i="75"/>
  <c r="L57" i="75"/>
  <c r="B57" i="75"/>
  <c r="T56" i="75"/>
  <c r="X56" i="75" s="1"/>
  <c r="Z56" i="75" s="1"/>
  <c r="P56" i="75"/>
  <c r="L56" i="75"/>
  <c r="N56" i="75" s="1"/>
  <c r="H56" i="75"/>
  <c r="D56" i="75"/>
  <c r="B56" i="75"/>
  <c r="Z55" i="75"/>
  <c r="X55" i="75"/>
  <c r="L55" i="75"/>
  <c r="N55" i="75" s="1"/>
  <c r="B55" i="75"/>
  <c r="T54" i="75"/>
  <c r="P54" i="75"/>
  <c r="X54" i="75" s="1"/>
  <c r="Z54" i="75" s="1"/>
  <c r="N54" i="75"/>
  <c r="L54" i="75"/>
  <c r="H54" i="75"/>
  <c r="D54" i="75"/>
  <c r="B54" i="75"/>
  <c r="Z53" i="75"/>
  <c r="X53" i="75"/>
  <c r="L53" i="75"/>
  <c r="N53" i="75" s="1"/>
  <c r="B53" i="75"/>
  <c r="T52" i="75"/>
  <c r="P52" i="75"/>
  <c r="X52" i="75" s="1"/>
  <c r="H52" i="75"/>
  <c r="D52" i="75"/>
  <c r="L52" i="75" s="1"/>
  <c r="B52" i="75"/>
  <c r="X51" i="75"/>
  <c r="Z51" i="75" s="1"/>
  <c r="N51" i="75"/>
  <c r="L51" i="75"/>
  <c r="B51" i="75"/>
  <c r="T50" i="75"/>
  <c r="P50" i="75"/>
  <c r="H50" i="75"/>
  <c r="N50" i="75" s="1"/>
  <c r="D50" i="75"/>
  <c r="L50" i="75" s="1"/>
  <c r="B50" i="75"/>
  <c r="Z49" i="75"/>
  <c r="X49" i="75"/>
  <c r="N49" i="75"/>
  <c r="L49" i="75"/>
  <c r="B49" i="75"/>
  <c r="Z48" i="75"/>
  <c r="X48" i="75"/>
  <c r="N48" i="75"/>
  <c r="L48" i="75"/>
  <c r="B48" i="75"/>
  <c r="Z47" i="75"/>
  <c r="X47" i="75"/>
  <c r="N47" i="75"/>
  <c r="L47" i="75"/>
  <c r="B47" i="75"/>
  <c r="Z46" i="75"/>
  <c r="X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N42" i="75"/>
  <c r="L42" i="75"/>
  <c r="B42" i="75"/>
  <c r="Z41" i="75"/>
  <c r="X41" i="75"/>
  <c r="L41" i="75"/>
  <c r="N41" i="75" s="1"/>
  <c r="B41" i="75"/>
  <c r="Z40" i="75"/>
  <c r="X40" i="75"/>
  <c r="N40" i="75"/>
  <c r="L40" i="75"/>
  <c r="B40" i="75"/>
  <c r="T39" i="75"/>
  <c r="P39" i="75"/>
  <c r="H39" i="75"/>
  <c r="D39" i="75"/>
  <c r="B39" i="75"/>
  <c r="Z38" i="75"/>
  <c r="X38" i="75"/>
  <c r="N38" i="75"/>
  <c r="L38" i="75"/>
  <c r="B38" i="75"/>
  <c r="X37" i="75"/>
  <c r="Z37" i="75" s="1"/>
  <c r="N37" i="75"/>
  <c r="L37" i="75"/>
  <c r="B37" i="75"/>
  <c r="X36" i="75"/>
  <c r="Z36" i="75" s="1"/>
  <c r="L36" i="75"/>
  <c r="N36" i="75" s="1"/>
  <c r="B36" i="75"/>
  <c r="Z35" i="75"/>
  <c r="X35" i="75"/>
  <c r="N35" i="75"/>
  <c r="L35" i="75"/>
  <c r="B35" i="75"/>
  <c r="X34" i="75"/>
  <c r="Z34" i="75" s="1"/>
  <c r="L34" i="75"/>
  <c r="N34" i="75" s="1"/>
  <c r="B34" i="75"/>
  <c r="X33" i="75"/>
  <c r="Z33" i="75" s="1"/>
  <c r="N33" i="75"/>
  <c r="L33" i="75"/>
  <c r="B33" i="75"/>
  <c r="X32" i="75"/>
  <c r="Z32" i="75" s="1"/>
  <c r="L32" i="75"/>
  <c r="N32" i="75" s="1"/>
  <c r="B32" i="75"/>
  <c r="Z31" i="75"/>
  <c r="X31" i="75"/>
  <c r="L31" i="75"/>
  <c r="N31" i="75" s="1"/>
  <c r="B31" i="75"/>
  <c r="X30" i="75"/>
  <c r="Z30" i="75" s="1"/>
  <c r="N30" i="75"/>
  <c r="L30" i="75"/>
  <c r="B30" i="75"/>
  <c r="X29" i="75"/>
  <c r="Z29" i="75" s="1"/>
  <c r="T29" i="75"/>
  <c r="P29" i="75"/>
  <c r="L29" i="75"/>
  <c r="N29" i="75" s="1"/>
  <c r="H29" i="75"/>
  <c r="D29" i="75"/>
  <c r="B29" i="75"/>
  <c r="T28" i="75"/>
  <c r="P28" i="75"/>
  <c r="L28" i="75"/>
  <c r="H28" i="75"/>
  <c r="N28" i="75" s="1"/>
  <c r="D28" i="75"/>
  <c r="Z24" i="75"/>
  <c r="T24" i="75"/>
  <c r="P24" i="75"/>
  <c r="X24" i="75" s="1"/>
  <c r="N24" i="75"/>
  <c r="L24" i="75"/>
  <c r="H24" i="75"/>
  <c r="D24" i="75"/>
  <c r="Z22" i="75"/>
  <c r="X22" i="75"/>
  <c r="P22" i="75"/>
  <c r="N22" i="75"/>
  <c r="D22" i="75"/>
  <c r="L22" i="75" s="1"/>
  <c r="B22" i="75"/>
  <c r="Z21" i="75"/>
  <c r="P21" i="75"/>
  <c r="X21" i="75" s="1"/>
  <c r="N21" i="75"/>
  <c r="D21" i="75"/>
  <c r="L21" i="75" s="1"/>
  <c r="B21" i="75"/>
  <c r="Z20" i="75"/>
  <c r="X20" i="75"/>
  <c r="P20" i="75"/>
  <c r="N20" i="75"/>
  <c r="D20" i="75"/>
  <c r="L20" i="75" s="1"/>
  <c r="B20" i="75"/>
  <c r="Z19" i="75"/>
  <c r="P19" i="75"/>
  <c r="X19" i="75" s="1"/>
  <c r="N19" i="75"/>
  <c r="L19" i="75"/>
  <c r="D19" i="75"/>
  <c r="B19" i="75"/>
  <c r="Z18" i="75"/>
  <c r="P18" i="75"/>
  <c r="X18" i="75" s="1"/>
  <c r="N18" i="75"/>
  <c r="D18" i="75"/>
  <c r="L18" i="75" s="1"/>
  <c r="B18" i="75"/>
  <c r="P17" i="75"/>
  <c r="X17" i="75" s="1"/>
  <c r="Z17" i="75" s="1"/>
  <c r="L17" i="75"/>
  <c r="N17" i="75" s="1"/>
  <c r="D17" i="75"/>
  <c r="B17" i="75"/>
  <c r="Z16" i="75"/>
  <c r="X16" i="75"/>
  <c r="P16" i="75"/>
  <c r="N16" i="75"/>
  <c r="D16" i="75"/>
  <c r="L16" i="75" s="1"/>
  <c r="B16" i="75"/>
  <c r="Z15" i="75"/>
  <c r="P15" i="75"/>
  <c r="X15" i="75" s="1"/>
  <c r="N15" i="75"/>
  <c r="L15" i="75"/>
  <c r="D15" i="75"/>
  <c r="B15" i="75"/>
  <c r="Z14" i="75"/>
  <c r="P14" i="75"/>
  <c r="X14" i="75" s="1"/>
  <c r="N14" i="75"/>
  <c r="L14" i="75"/>
  <c r="D14" i="75"/>
  <c r="B14" i="75"/>
  <c r="X13" i="75"/>
  <c r="Z13" i="75" s="1"/>
  <c r="P13" i="75"/>
  <c r="P12" i="75" s="1"/>
  <c r="N13" i="75"/>
  <c r="L13" i="75"/>
  <c r="D13" i="75"/>
  <c r="B13" i="75"/>
  <c r="T12" i="75"/>
  <c r="V54" i="75" s="1"/>
  <c r="H12" i="75"/>
  <c r="J71" i="75" s="1"/>
  <c r="D12" i="75"/>
  <c r="D26" i="75" s="1"/>
  <c r="D6" i="75"/>
  <c r="D4" i="75"/>
  <c r="X137" i="74"/>
  <c r="Z137" i="74" s="1"/>
  <c r="N137" i="74"/>
  <c r="L137" i="74"/>
  <c r="Z133" i="74"/>
  <c r="X133" i="74"/>
  <c r="P133" i="74"/>
  <c r="N133" i="74"/>
  <c r="D133" i="74"/>
  <c r="L133" i="74" s="1"/>
  <c r="B133" i="74"/>
  <c r="Z132" i="74"/>
  <c r="P132" i="74"/>
  <c r="X132" i="74" s="1"/>
  <c r="N132" i="74"/>
  <c r="L132" i="74"/>
  <c r="D132" i="74"/>
  <c r="B132" i="74"/>
  <c r="X131" i="74"/>
  <c r="Z131" i="74" s="1"/>
  <c r="P131" i="74"/>
  <c r="D131" i="74"/>
  <c r="L131" i="74" s="1"/>
  <c r="N131" i="74" s="1"/>
  <c r="B131" i="74"/>
  <c r="T130" i="74"/>
  <c r="P130" i="74"/>
  <c r="H130" i="74"/>
  <c r="Z128" i="74"/>
  <c r="X128" i="74"/>
  <c r="N128" i="74"/>
  <c r="L128" i="74"/>
  <c r="B128" i="74"/>
  <c r="X127" i="74"/>
  <c r="Z127" i="74" s="1"/>
  <c r="L127" i="74"/>
  <c r="N127" i="74" s="1"/>
  <c r="B127" i="74"/>
  <c r="T126" i="74"/>
  <c r="P126" i="74"/>
  <c r="H126" i="74"/>
  <c r="D126" i="74"/>
  <c r="B126" i="74"/>
  <c r="X125" i="74"/>
  <c r="Z125" i="74" s="1"/>
  <c r="N125" i="74"/>
  <c r="L125" i="74"/>
  <c r="B125" i="74"/>
  <c r="T124" i="74"/>
  <c r="P124" i="74"/>
  <c r="X124" i="74" s="1"/>
  <c r="Z124" i="74" s="1"/>
  <c r="N124" i="74"/>
  <c r="L124" i="74"/>
  <c r="H124" i="74"/>
  <c r="D124" i="74"/>
  <c r="B124" i="74"/>
  <c r="X123" i="74"/>
  <c r="Z123" i="74" s="1"/>
  <c r="L123" i="74"/>
  <c r="N123" i="74" s="1"/>
  <c r="B123" i="74"/>
  <c r="X122" i="74"/>
  <c r="Z122" i="74" s="1"/>
  <c r="N122" i="74"/>
  <c r="L122" i="74"/>
  <c r="B122" i="74"/>
  <c r="Z121" i="74"/>
  <c r="X121" i="74"/>
  <c r="L121" i="74"/>
  <c r="N121" i="74" s="1"/>
  <c r="B121" i="74"/>
  <c r="Z120" i="74"/>
  <c r="X120" i="74"/>
  <c r="N120" i="74"/>
  <c r="L120" i="74"/>
  <c r="B120" i="74"/>
  <c r="X119" i="74"/>
  <c r="Z119" i="74" s="1"/>
  <c r="N119" i="74"/>
  <c r="L119" i="74"/>
  <c r="B119" i="74"/>
  <c r="Z118" i="74"/>
  <c r="X118" i="74"/>
  <c r="N118" i="74"/>
  <c r="L118" i="74"/>
  <c r="B118" i="74"/>
  <c r="X117" i="74"/>
  <c r="Z117" i="74" s="1"/>
  <c r="N117" i="74"/>
  <c r="L117" i="74"/>
  <c r="B117" i="74"/>
  <c r="Z116" i="74"/>
  <c r="X116" i="74"/>
  <c r="T116" i="74"/>
  <c r="P116" i="74"/>
  <c r="N116" i="74"/>
  <c r="L116" i="74"/>
  <c r="H116" i="74"/>
  <c r="D116" i="74"/>
  <c r="B116" i="74"/>
  <c r="X115" i="74"/>
  <c r="Z115" i="74" s="1"/>
  <c r="N115" i="74"/>
  <c r="L115" i="74"/>
  <c r="B115" i="74"/>
  <c r="T114" i="74"/>
  <c r="Z114" i="74" s="1"/>
  <c r="P114" i="74"/>
  <c r="X114" i="74" s="1"/>
  <c r="H114" i="74"/>
  <c r="N114" i="74" s="1"/>
  <c r="D114" i="74"/>
  <c r="B114" i="74"/>
  <c r="X113" i="74"/>
  <c r="Z113" i="74" s="1"/>
  <c r="N113" i="74"/>
  <c r="L113" i="74"/>
  <c r="B113" i="74"/>
  <c r="X112" i="74"/>
  <c r="Z112" i="74" s="1"/>
  <c r="N112" i="74"/>
  <c r="L112" i="74"/>
  <c r="B112" i="74"/>
  <c r="X111" i="74"/>
  <c r="Z111" i="74" s="1"/>
  <c r="L111" i="74"/>
  <c r="N111" i="74" s="1"/>
  <c r="B111" i="74"/>
  <c r="T110" i="74"/>
  <c r="P110" i="74"/>
  <c r="X110" i="74" s="1"/>
  <c r="Z110" i="74" s="1"/>
  <c r="H110" i="74"/>
  <c r="D110" i="74"/>
  <c r="L110" i="74" s="1"/>
  <c r="N110" i="74" s="1"/>
  <c r="B110" i="74"/>
  <c r="Z109" i="74"/>
  <c r="X109" i="74"/>
  <c r="L109" i="74"/>
  <c r="N109" i="74" s="1"/>
  <c r="B109" i="74"/>
  <c r="X108" i="74"/>
  <c r="T108" i="74"/>
  <c r="Z108" i="74" s="1"/>
  <c r="P108" i="74"/>
  <c r="L108" i="74"/>
  <c r="H108" i="74"/>
  <c r="N108" i="74" s="1"/>
  <c r="D108" i="74"/>
  <c r="B108" i="74"/>
  <c r="X107" i="74"/>
  <c r="Z107" i="74" s="1"/>
  <c r="N107" i="74"/>
  <c r="L107" i="74"/>
  <c r="B107" i="74"/>
  <c r="T106" i="74"/>
  <c r="P106" i="74"/>
  <c r="X106" i="74" s="1"/>
  <c r="Z106" i="74" s="1"/>
  <c r="N106" i="74"/>
  <c r="H106" i="74"/>
  <c r="D106" i="74"/>
  <c r="L106" i="74" s="1"/>
  <c r="B106" i="74"/>
  <c r="X105" i="74"/>
  <c r="Z105" i="74" s="1"/>
  <c r="L105" i="74"/>
  <c r="N105" i="74" s="1"/>
  <c r="B105" i="74"/>
  <c r="T104" i="74"/>
  <c r="P104" i="74"/>
  <c r="X104" i="74" s="1"/>
  <c r="Z104" i="74" s="1"/>
  <c r="H104" i="74"/>
  <c r="D104" i="74"/>
  <c r="L104" i="74" s="1"/>
  <c r="N104" i="74" s="1"/>
  <c r="B104" i="74"/>
  <c r="Z103" i="74"/>
  <c r="X103" i="74"/>
  <c r="N103" i="74"/>
  <c r="L103" i="74"/>
  <c r="B103" i="74"/>
  <c r="Z102" i="74"/>
  <c r="X102" i="74"/>
  <c r="T102" i="74"/>
  <c r="P102" i="74"/>
  <c r="L102" i="74"/>
  <c r="H102" i="74"/>
  <c r="N102" i="74" s="1"/>
  <c r="D102" i="74"/>
  <c r="B102" i="74"/>
  <c r="Z101" i="74"/>
  <c r="X101" i="74"/>
  <c r="L101" i="74"/>
  <c r="N101" i="74" s="1"/>
  <c r="B101" i="74"/>
  <c r="Z100" i="74"/>
  <c r="X100" i="74"/>
  <c r="N100" i="74"/>
  <c r="L100" i="74"/>
  <c r="B100" i="74"/>
  <c r="T99" i="74"/>
  <c r="P99" i="74"/>
  <c r="X99" i="74" s="1"/>
  <c r="H99" i="74"/>
  <c r="D99" i="74"/>
  <c r="L99" i="74" s="1"/>
  <c r="B99" i="74"/>
  <c r="X98" i="74"/>
  <c r="Z98" i="74" s="1"/>
  <c r="N98" i="74"/>
  <c r="L98" i="74"/>
  <c r="B98" i="74"/>
  <c r="X97" i="74"/>
  <c r="V97" i="74"/>
  <c r="T97" i="74"/>
  <c r="P97" i="74"/>
  <c r="H97" i="74"/>
  <c r="D97" i="74"/>
  <c r="L97" i="74" s="1"/>
  <c r="B97" i="74"/>
  <c r="X96" i="74"/>
  <c r="Z96" i="74" s="1"/>
  <c r="V96" i="74"/>
  <c r="N96" i="74"/>
  <c r="L96" i="74"/>
  <c r="B96" i="74"/>
  <c r="T95" i="74"/>
  <c r="P95" i="74"/>
  <c r="X95" i="74" s="1"/>
  <c r="Z95" i="74" s="1"/>
  <c r="N95" i="74"/>
  <c r="L95" i="74"/>
  <c r="H95" i="74"/>
  <c r="D95" i="74"/>
  <c r="B95" i="74"/>
  <c r="Z94" i="74"/>
  <c r="X94" i="74"/>
  <c r="N94" i="74"/>
  <c r="L94" i="74"/>
  <c r="B94" i="74"/>
  <c r="Z93" i="74"/>
  <c r="T93" i="74"/>
  <c r="P93" i="74"/>
  <c r="X93" i="74" s="1"/>
  <c r="N93" i="74"/>
  <c r="H93" i="74"/>
  <c r="D93" i="74"/>
  <c r="L93" i="74" s="1"/>
  <c r="B93" i="74"/>
  <c r="Z92" i="74"/>
  <c r="X92" i="74"/>
  <c r="N92" i="74"/>
  <c r="L92" i="74"/>
  <c r="B92" i="74"/>
  <c r="T91" i="74"/>
  <c r="Z91" i="74" s="1"/>
  <c r="P91" i="74"/>
  <c r="X91" i="74" s="1"/>
  <c r="H91" i="74"/>
  <c r="N91" i="74" s="1"/>
  <c r="D91" i="74"/>
  <c r="L91" i="74" s="1"/>
  <c r="B91" i="74"/>
  <c r="Z90" i="74"/>
  <c r="X90" i="74"/>
  <c r="N90" i="74"/>
  <c r="L90" i="74"/>
  <c r="B90" i="74"/>
  <c r="X89" i="74"/>
  <c r="Z89" i="74" s="1"/>
  <c r="T89" i="74"/>
  <c r="P89" i="74"/>
  <c r="H89" i="74"/>
  <c r="D89" i="74"/>
  <c r="B89" i="74"/>
  <c r="Z88" i="74"/>
  <c r="X88" i="74"/>
  <c r="N88" i="74"/>
  <c r="L88" i="74"/>
  <c r="B88" i="74"/>
  <c r="Z87" i="74"/>
  <c r="X87" i="74"/>
  <c r="N87" i="74"/>
  <c r="L87" i="74"/>
  <c r="B87" i="74"/>
  <c r="Z86" i="74"/>
  <c r="X86" i="74"/>
  <c r="V86" i="74"/>
  <c r="N86" i="74"/>
  <c r="L86" i="74"/>
  <c r="B86" i="74"/>
  <c r="X85" i="74"/>
  <c r="Z85" i="74" s="1"/>
  <c r="L85" i="74"/>
  <c r="N85" i="74" s="1"/>
  <c r="B85" i="74"/>
  <c r="Z84" i="74"/>
  <c r="X84" i="74"/>
  <c r="N84" i="74"/>
  <c r="L84" i="74"/>
  <c r="B84" i="74"/>
  <c r="Z83" i="74"/>
  <c r="X83" i="74"/>
  <c r="V83" i="74"/>
  <c r="N83" i="74"/>
  <c r="L83" i="74"/>
  <c r="B83" i="74"/>
  <c r="Z82" i="74"/>
  <c r="X82" i="74"/>
  <c r="L82" i="74"/>
  <c r="N82" i="74" s="1"/>
  <c r="B82" i="74"/>
  <c r="Z81" i="74"/>
  <c r="X81" i="74"/>
  <c r="N81" i="74"/>
  <c r="L81" i="74"/>
  <c r="B81" i="74"/>
  <c r="Z80" i="74"/>
  <c r="X80" i="74"/>
  <c r="L80" i="74"/>
  <c r="N80" i="74" s="1"/>
  <c r="B80" i="74"/>
  <c r="Z79" i="74"/>
  <c r="X79" i="74"/>
  <c r="V79" i="74"/>
  <c r="N79" i="74"/>
  <c r="L79" i="74"/>
  <c r="B79" i="74"/>
  <c r="V78" i="74"/>
  <c r="T78" i="74"/>
  <c r="P78" i="74"/>
  <c r="X78" i="74" s="1"/>
  <c r="Z78" i="74" s="1"/>
  <c r="N78" i="74"/>
  <c r="L78" i="74"/>
  <c r="H78" i="74"/>
  <c r="D78" i="74"/>
  <c r="B78" i="74"/>
  <c r="X77" i="74"/>
  <c r="Z77" i="74" s="1"/>
  <c r="L77" i="74"/>
  <c r="N77" i="74" s="1"/>
  <c r="B77" i="74"/>
  <c r="X76" i="74"/>
  <c r="Z76" i="74" s="1"/>
  <c r="V76" i="74"/>
  <c r="N76" i="74"/>
  <c r="L76" i="74"/>
  <c r="B76" i="74"/>
  <c r="Z75" i="74"/>
  <c r="X75" i="74"/>
  <c r="L75" i="74"/>
  <c r="N75" i="74" s="1"/>
  <c r="B75" i="74"/>
  <c r="Z74" i="74"/>
  <c r="X74" i="74"/>
  <c r="V74" i="74"/>
  <c r="N74" i="74"/>
  <c r="L74" i="74"/>
  <c r="B74" i="74"/>
  <c r="X73" i="74"/>
  <c r="Z73" i="74" s="1"/>
  <c r="L73" i="74"/>
  <c r="N73" i="74" s="1"/>
  <c r="B73" i="74"/>
  <c r="X72" i="74"/>
  <c r="Z72" i="74" s="1"/>
  <c r="V72" i="74"/>
  <c r="N72" i="74"/>
  <c r="L72" i="74"/>
  <c r="B72" i="74"/>
  <c r="Z71" i="74"/>
  <c r="X71" i="74"/>
  <c r="L71" i="74"/>
  <c r="N71" i="74" s="1"/>
  <c r="B71" i="74"/>
  <c r="X70" i="74"/>
  <c r="Z70" i="74" s="1"/>
  <c r="V70" i="74"/>
  <c r="N70" i="74"/>
  <c r="L70" i="74"/>
  <c r="B70" i="74"/>
  <c r="X69" i="74"/>
  <c r="Z69" i="74" s="1"/>
  <c r="L69" i="74"/>
  <c r="N69" i="74" s="1"/>
  <c r="B69" i="74"/>
  <c r="X68" i="74"/>
  <c r="V68" i="74"/>
  <c r="T68" i="74"/>
  <c r="Z68" i="74" s="1"/>
  <c r="P68" i="74"/>
  <c r="L68" i="74"/>
  <c r="H68" i="74"/>
  <c r="N68" i="74" s="1"/>
  <c r="D68" i="74"/>
  <c r="B68" i="74"/>
  <c r="T67" i="74"/>
  <c r="P67" i="74"/>
  <c r="L67" i="74"/>
  <c r="H67" i="74"/>
  <c r="D67" i="74"/>
  <c r="T65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V61" i="74"/>
  <c r="N61" i="74"/>
  <c r="L61" i="74"/>
  <c r="B61" i="74"/>
  <c r="Z60" i="74"/>
  <c r="X60" i="74"/>
  <c r="N60" i="74"/>
  <c r="L60" i="74"/>
  <c r="B60" i="74"/>
  <c r="Z59" i="74"/>
  <c r="X59" i="74"/>
  <c r="N59" i="74"/>
  <c r="L59" i="74"/>
  <c r="B59" i="74"/>
  <c r="Z58" i="74"/>
  <c r="X58" i="74"/>
  <c r="N58" i="74"/>
  <c r="L58" i="74"/>
  <c r="B58" i="74"/>
  <c r="Z57" i="74"/>
  <c r="X57" i="74"/>
  <c r="V57" i="74"/>
  <c r="N57" i="74"/>
  <c r="L57" i="74"/>
  <c r="B57" i="74"/>
  <c r="Z56" i="74"/>
  <c r="X56" i="74"/>
  <c r="N56" i="74"/>
  <c r="L56" i="74"/>
  <c r="B56" i="74"/>
  <c r="Z55" i="74"/>
  <c r="X55" i="74"/>
  <c r="N55" i="74"/>
  <c r="L55" i="74"/>
  <c r="B55" i="74"/>
  <c r="Z54" i="74"/>
  <c r="X54" i="74"/>
  <c r="N54" i="74"/>
  <c r="L54" i="74"/>
  <c r="B54" i="74"/>
  <c r="Z53" i="74"/>
  <c r="X53" i="74"/>
  <c r="V53" i="74"/>
  <c r="N53" i="74"/>
  <c r="L53" i="74"/>
  <c r="B53" i="74"/>
  <c r="Z52" i="74"/>
  <c r="X52" i="74"/>
  <c r="N52" i="74"/>
  <c r="L52" i="74"/>
  <c r="B52" i="74"/>
  <c r="X51" i="74"/>
  <c r="Z51" i="74" s="1"/>
  <c r="L51" i="74"/>
  <c r="N51" i="74" s="1"/>
  <c r="B51" i="74"/>
  <c r="T50" i="74"/>
  <c r="P50" i="74"/>
  <c r="X50" i="74" s="1"/>
  <c r="Z50" i="74" s="1"/>
  <c r="H50" i="74"/>
  <c r="D50" i="74"/>
  <c r="L50" i="74" s="1"/>
  <c r="N50" i="74" s="1"/>
  <c r="Z48" i="74"/>
  <c r="P48" i="74"/>
  <c r="X48" i="74" s="1"/>
  <c r="N48" i="74"/>
  <c r="L48" i="74"/>
  <c r="D48" i="74"/>
  <c r="B48" i="74"/>
  <c r="Z47" i="74"/>
  <c r="P47" i="74"/>
  <c r="X47" i="74" s="1"/>
  <c r="N47" i="74"/>
  <c r="D47" i="74"/>
  <c r="L47" i="74" s="1"/>
  <c r="B47" i="74"/>
  <c r="Z46" i="74"/>
  <c r="P46" i="74"/>
  <c r="X46" i="74" s="1"/>
  <c r="N46" i="74"/>
  <c r="L46" i="74"/>
  <c r="D46" i="74"/>
  <c r="B46" i="74"/>
  <c r="Z45" i="74"/>
  <c r="P45" i="74"/>
  <c r="X45" i="74" s="1"/>
  <c r="N45" i="74"/>
  <c r="D45" i="74"/>
  <c r="L45" i="74" s="1"/>
  <c r="B45" i="74"/>
  <c r="Z44" i="74"/>
  <c r="P44" i="74"/>
  <c r="X44" i="74" s="1"/>
  <c r="N44" i="74"/>
  <c r="D44" i="74"/>
  <c r="L44" i="74" s="1"/>
  <c r="B44" i="74"/>
  <c r="Z43" i="74"/>
  <c r="X43" i="74"/>
  <c r="P43" i="74"/>
  <c r="N43" i="74"/>
  <c r="D43" i="74"/>
  <c r="L43" i="74" s="1"/>
  <c r="B43" i="74"/>
  <c r="Z42" i="74"/>
  <c r="P42" i="74"/>
  <c r="X42" i="74" s="1"/>
  <c r="N42" i="74"/>
  <c r="L42" i="74"/>
  <c r="D42" i="74"/>
  <c r="B42" i="74"/>
  <c r="Z41" i="74"/>
  <c r="P41" i="74"/>
  <c r="X41" i="74" s="1"/>
  <c r="N41" i="74"/>
  <c r="D41" i="74"/>
  <c r="L41" i="74" s="1"/>
  <c r="B41" i="74"/>
  <c r="Z40" i="74"/>
  <c r="X40" i="74"/>
  <c r="P40" i="74"/>
  <c r="N40" i="74"/>
  <c r="L40" i="74"/>
  <c r="D40" i="74"/>
  <c r="B40" i="74"/>
  <c r="Z39" i="74"/>
  <c r="X39" i="74"/>
  <c r="P39" i="74"/>
  <c r="N39" i="74"/>
  <c r="D39" i="74"/>
  <c r="L39" i="74" s="1"/>
  <c r="B39" i="74"/>
  <c r="Z38" i="74"/>
  <c r="X38" i="74"/>
  <c r="P38" i="74"/>
  <c r="N38" i="74"/>
  <c r="D38" i="74"/>
  <c r="L38" i="74" s="1"/>
  <c r="B38" i="74"/>
  <c r="Z37" i="74"/>
  <c r="X37" i="74"/>
  <c r="P37" i="74"/>
  <c r="N37" i="74"/>
  <c r="D37" i="74"/>
  <c r="L37" i="74" s="1"/>
  <c r="B37" i="74"/>
  <c r="Z36" i="74"/>
  <c r="P36" i="74"/>
  <c r="X36" i="74" s="1"/>
  <c r="N36" i="74"/>
  <c r="L36" i="74"/>
  <c r="D36" i="74"/>
  <c r="B36" i="74"/>
  <c r="Z35" i="74"/>
  <c r="P35" i="74"/>
  <c r="X35" i="74" s="1"/>
  <c r="N35" i="74"/>
  <c r="D35" i="74"/>
  <c r="L35" i="74" s="1"/>
  <c r="B35" i="74"/>
  <c r="Z34" i="74"/>
  <c r="P34" i="74"/>
  <c r="X34" i="74" s="1"/>
  <c r="N34" i="74"/>
  <c r="L34" i="74"/>
  <c r="D34" i="74"/>
  <c r="B34" i="74"/>
  <c r="Z33" i="74"/>
  <c r="P33" i="74"/>
  <c r="X33" i="74" s="1"/>
  <c r="N33" i="74"/>
  <c r="D33" i="74"/>
  <c r="L33" i="74" s="1"/>
  <c r="B33" i="74"/>
  <c r="Z32" i="74"/>
  <c r="P32" i="74"/>
  <c r="X32" i="74" s="1"/>
  <c r="N32" i="74"/>
  <c r="D32" i="74"/>
  <c r="L32" i="74" s="1"/>
  <c r="B32" i="74"/>
  <c r="Z31" i="74"/>
  <c r="X31" i="74"/>
  <c r="P31" i="74"/>
  <c r="N31" i="74"/>
  <c r="D31" i="74"/>
  <c r="L31" i="74" s="1"/>
  <c r="B31" i="74"/>
  <c r="Z30" i="74"/>
  <c r="P30" i="74"/>
  <c r="X30" i="74" s="1"/>
  <c r="N30" i="74"/>
  <c r="L30" i="74"/>
  <c r="D30" i="74"/>
  <c r="B30" i="74"/>
  <c r="Z29" i="74"/>
  <c r="P29" i="74"/>
  <c r="X29" i="74" s="1"/>
  <c r="N29" i="74"/>
  <c r="D29" i="74"/>
  <c r="L29" i="74" s="1"/>
  <c r="B29" i="74"/>
  <c r="Z28" i="74"/>
  <c r="X28" i="74"/>
  <c r="P28" i="74"/>
  <c r="N28" i="74"/>
  <c r="L28" i="74"/>
  <c r="D28" i="74"/>
  <c r="B28" i="74"/>
  <c r="Z27" i="74"/>
  <c r="X27" i="74"/>
  <c r="P27" i="74"/>
  <c r="N27" i="74"/>
  <c r="D27" i="74"/>
  <c r="L27" i="74" s="1"/>
  <c r="B27" i="74"/>
  <c r="Z26" i="74"/>
  <c r="P26" i="74"/>
  <c r="X26" i="74" s="1"/>
  <c r="N26" i="74"/>
  <c r="D26" i="74"/>
  <c r="L26" i="74" s="1"/>
  <c r="B26" i="74"/>
  <c r="Z25" i="74"/>
  <c r="X25" i="74"/>
  <c r="P25" i="74"/>
  <c r="N25" i="74"/>
  <c r="D25" i="74"/>
  <c r="L25" i="74" s="1"/>
  <c r="B25" i="74"/>
  <c r="Z24" i="74"/>
  <c r="P24" i="74"/>
  <c r="X24" i="74" s="1"/>
  <c r="N24" i="74"/>
  <c r="L24" i="74"/>
  <c r="D24" i="74"/>
  <c r="B24" i="74"/>
  <c r="Z23" i="74"/>
  <c r="P23" i="74"/>
  <c r="X23" i="74" s="1"/>
  <c r="N23" i="74"/>
  <c r="D23" i="74"/>
  <c r="L23" i="74" s="1"/>
  <c r="B23" i="74"/>
  <c r="Z22" i="74"/>
  <c r="P22" i="74"/>
  <c r="X22" i="74" s="1"/>
  <c r="N22" i="74"/>
  <c r="L22" i="74"/>
  <c r="D22" i="74"/>
  <c r="B22" i="74"/>
  <c r="Z21" i="74"/>
  <c r="P21" i="74"/>
  <c r="X21" i="74" s="1"/>
  <c r="N21" i="74"/>
  <c r="D21" i="74"/>
  <c r="L21" i="74" s="1"/>
  <c r="B21" i="74"/>
  <c r="Z20" i="74"/>
  <c r="P20" i="74"/>
  <c r="X20" i="74" s="1"/>
  <c r="N20" i="74"/>
  <c r="D20" i="74"/>
  <c r="L20" i="74" s="1"/>
  <c r="B20" i="74"/>
  <c r="Z19" i="74"/>
  <c r="X19" i="74"/>
  <c r="P19" i="74"/>
  <c r="N19" i="74"/>
  <c r="D19" i="74"/>
  <c r="L19" i="74" s="1"/>
  <c r="B19" i="74"/>
  <c r="Z18" i="74"/>
  <c r="P18" i="74"/>
  <c r="X18" i="74" s="1"/>
  <c r="N18" i="74"/>
  <c r="L18" i="74"/>
  <c r="D18" i="74"/>
  <c r="B18" i="74"/>
  <c r="Z17" i="74"/>
  <c r="P17" i="74"/>
  <c r="X17" i="74" s="1"/>
  <c r="N17" i="74"/>
  <c r="D17" i="74"/>
  <c r="L17" i="74" s="1"/>
  <c r="B17" i="74"/>
  <c r="Z16" i="74"/>
  <c r="X16" i="74"/>
  <c r="P16" i="74"/>
  <c r="N16" i="74"/>
  <c r="L16" i="74"/>
  <c r="D16" i="74"/>
  <c r="B16" i="74"/>
  <c r="Z15" i="74"/>
  <c r="X15" i="74"/>
  <c r="P15" i="74"/>
  <c r="N15" i="74"/>
  <c r="D15" i="74"/>
  <c r="L15" i="74" s="1"/>
  <c r="B15" i="74"/>
  <c r="Z14" i="74"/>
  <c r="P14" i="74"/>
  <c r="X14" i="74" s="1"/>
  <c r="N14" i="74"/>
  <c r="D14" i="74"/>
  <c r="L14" i="74" s="1"/>
  <c r="B14" i="74"/>
  <c r="X13" i="74"/>
  <c r="Z13" i="74" s="1"/>
  <c r="P13" i="74"/>
  <c r="D13" i="74"/>
  <c r="D12" i="74" s="1"/>
  <c r="F63" i="74" s="1"/>
  <c r="B13" i="74"/>
  <c r="T12" i="74"/>
  <c r="V133" i="74" s="1"/>
  <c r="H12" i="74"/>
  <c r="J56" i="74" s="1"/>
  <c r="D6" i="74"/>
  <c r="D4" i="74"/>
  <c r="Z69" i="72"/>
  <c r="X69" i="72"/>
  <c r="L69" i="72"/>
  <c r="N69" i="72" s="1"/>
  <c r="T65" i="72"/>
  <c r="Z65" i="72" s="1"/>
  <c r="P65" i="72"/>
  <c r="N65" i="72"/>
  <c r="H65" i="72"/>
  <c r="D65" i="72"/>
  <c r="Z63" i="72"/>
  <c r="X63" i="72"/>
  <c r="L63" i="72"/>
  <c r="N63" i="72" s="1"/>
  <c r="J63" i="72"/>
  <c r="B63" i="72"/>
  <c r="X62" i="72"/>
  <c r="T62" i="72"/>
  <c r="Z62" i="72" s="1"/>
  <c r="P62" i="72"/>
  <c r="J62" i="72"/>
  <c r="H62" i="72"/>
  <c r="D62" i="72"/>
  <c r="B62" i="72"/>
  <c r="Z61" i="72"/>
  <c r="X61" i="72"/>
  <c r="N61" i="72"/>
  <c r="L61" i="72"/>
  <c r="J61" i="72"/>
  <c r="B61" i="72"/>
  <c r="X60" i="72"/>
  <c r="Z60" i="72" s="1"/>
  <c r="N60" i="72"/>
  <c r="L60" i="72"/>
  <c r="B60" i="72"/>
  <c r="Z59" i="72"/>
  <c r="X59" i="72"/>
  <c r="T59" i="72"/>
  <c r="P59" i="72"/>
  <c r="J59" i="72"/>
  <c r="H59" i="72"/>
  <c r="D59" i="72"/>
  <c r="L59" i="72" s="1"/>
  <c r="N59" i="72" s="1"/>
  <c r="B59" i="72"/>
  <c r="Z58" i="72"/>
  <c r="X58" i="72"/>
  <c r="N58" i="72"/>
  <c r="L58" i="72"/>
  <c r="J58" i="72"/>
  <c r="B58" i="72"/>
  <c r="X57" i="72"/>
  <c r="Z57" i="72" s="1"/>
  <c r="N57" i="72"/>
  <c r="L57" i="72"/>
  <c r="B57" i="72"/>
  <c r="Z56" i="72"/>
  <c r="X56" i="72"/>
  <c r="N56" i="72"/>
  <c r="L56" i="72"/>
  <c r="J56" i="72"/>
  <c r="B56" i="72"/>
  <c r="X55" i="72"/>
  <c r="T55" i="72"/>
  <c r="P55" i="72"/>
  <c r="L55" i="72"/>
  <c r="H55" i="72"/>
  <c r="D55" i="72"/>
  <c r="B55" i="72"/>
  <c r="X54" i="72"/>
  <c r="Z54" i="72" s="1"/>
  <c r="L54" i="72"/>
  <c r="N54" i="72" s="1"/>
  <c r="J54" i="72"/>
  <c r="B54" i="72"/>
  <c r="T53" i="72"/>
  <c r="P53" i="72"/>
  <c r="X53" i="72" s="1"/>
  <c r="Z53" i="72" s="1"/>
  <c r="H53" i="72"/>
  <c r="F53" i="72"/>
  <c r="D53" i="72"/>
  <c r="B53" i="72"/>
  <c r="X52" i="72"/>
  <c r="Z52" i="72" s="1"/>
  <c r="N52" i="72"/>
  <c r="L52" i="72"/>
  <c r="B52" i="72"/>
  <c r="Z51" i="72"/>
  <c r="X51" i="72"/>
  <c r="T51" i="72"/>
  <c r="P51" i="72"/>
  <c r="L51" i="72"/>
  <c r="N51" i="72" s="1"/>
  <c r="J51" i="72"/>
  <c r="H51" i="72"/>
  <c r="D51" i="72"/>
  <c r="B51" i="72"/>
  <c r="X50" i="72"/>
  <c r="Z50" i="72" s="1"/>
  <c r="N50" i="72"/>
  <c r="L50" i="72"/>
  <c r="J50" i="72"/>
  <c r="B50" i="72"/>
  <c r="X49" i="72"/>
  <c r="T49" i="72"/>
  <c r="P49" i="72"/>
  <c r="J49" i="72"/>
  <c r="H49" i="72"/>
  <c r="N49" i="72" s="1"/>
  <c r="D49" i="72"/>
  <c r="B49" i="72"/>
  <c r="Z48" i="72"/>
  <c r="X48" i="72"/>
  <c r="N48" i="72"/>
  <c r="L48" i="72"/>
  <c r="J48" i="72"/>
  <c r="B48" i="72"/>
  <c r="T47" i="72"/>
  <c r="Z47" i="72" s="1"/>
  <c r="P47" i="72"/>
  <c r="N47" i="72"/>
  <c r="H47" i="72"/>
  <c r="D47" i="72"/>
  <c r="B47" i="72"/>
  <c r="X46" i="72"/>
  <c r="Z46" i="72" s="1"/>
  <c r="L46" i="72"/>
  <c r="N46" i="72" s="1"/>
  <c r="B46" i="72"/>
  <c r="X45" i="72"/>
  <c r="Z45" i="72" s="1"/>
  <c r="T45" i="72"/>
  <c r="P45" i="72"/>
  <c r="J45" i="72"/>
  <c r="H45" i="72"/>
  <c r="D45" i="72"/>
  <c r="L45" i="72" s="1"/>
  <c r="N45" i="72" s="1"/>
  <c r="B45" i="72"/>
  <c r="X44" i="72"/>
  <c r="Z44" i="72" s="1"/>
  <c r="N44" i="72"/>
  <c r="L44" i="72"/>
  <c r="J44" i="72"/>
  <c r="B44" i="72"/>
  <c r="X43" i="72"/>
  <c r="T43" i="72"/>
  <c r="Z43" i="72" s="1"/>
  <c r="P43" i="72"/>
  <c r="L43" i="72"/>
  <c r="J43" i="72"/>
  <c r="H43" i="72"/>
  <c r="N43" i="72" s="1"/>
  <c r="D43" i="72"/>
  <c r="B43" i="72"/>
  <c r="Z42" i="72"/>
  <c r="X42" i="72"/>
  <c r="N42" i="72"/>
  <c r="L42" i="72"/>
  <c r="J42" i="72"/>
  <c r="B42" i="72"/>
  <c r="Z41" i="72"/>
  <c r="X41" i="72"/>
  <c r="N41" i="72"/>
  <c r="L41" i="72"/>
  <c r="J41" i="72"/>
  <c r="B41" i="72"/>
  <c r="Z40" i="72"/>
  <c r="X40" i="72"/>
  <c r="N40" i="72"/>
  <c r="L40" i="72"/>
  <c r="J40" i="72"/>
  <c r="F40" i="72"/>
  <c r="B40" i="72"/>
  <c r="Z39" i="72"/>
  <c r="X39" i="72"/>
  <c r="N39" i="72"/>
  <c r="L39" i="72"/>
  <c r="J39" i="72"/>
  <c r="B39" i="72"/>
  <c r="Z38" i="72"/>
  <c r="X38" i="72"/>
  <c r="N38" i="72"/>
  <c r="L38" i="72"/>
  <c r="B38" i="72"/>
  <c r="Z37" i="72"/>
  <c r="X37" i="72"/>
  <c r="L37" i="72"/>
  <c r="N37" i="72" s="1"/>
  <c r="J37" i="72"/>
  <c r="B37" i="72"/>
  <c r="Z36" i="72"/>
  <c r="X36" i="72"/>
  <c r="L36" i="72"/>
  <c r="N36" i="72" s="1"/>
  <c r="J36" i="72"/>
  <c r="F36" i="72"/>
  <c r="B36" i="72"/>
  <c r="Z35" i="72"/>
  <c r="X35" i="72"/>
  <c r="N35" i="72"/>
  <c r="L35" i="72"/>
  <c r="J35" i="72"/>
  <c r="B35" i="72"/>
  <c r="Z34" i="72"/>
  <c r="X34" i="72"/>
  <c r="N34" i="72"/>
  <c r="L34" i="72"/>
  <c r="J34" i="72"/>
  <c r="B34" i="72"/>
  <c r="Z33" i="72"/>
  <c r="X33" i="72"/>
  <c r="L33" i="72"/>
  <c r="N33" i="72" s="1"/>
  <c r="B33" i="72"/>
  <c r="T32" i="72"/>
  <c r="P32" i="72"/>
  <c r="L32" i="72"/>
  <c r="J32" i="72"/>
  <c r="H32" i="72"/>
  <c r="N32" i="72" s="1"/>
  <c r="D32" i="72"/>
  <c r="B32" i="72"/>
  <c r="X31" i="72"/>
  <c r="Z31" i="72" s="1"/>
  <c r="L31" i="72"/>
  <c r="N31" i="72" s="1"/>
  <c r="B31" i="72"/>
  <c r="X30" i="72"/>
  <c r="Z30" i="72" s="1"/>
  <c r="L30" i="72"/>
  <c r="N30" i="72" s="1"/>
  <c r="F30" i="72"/>
  <c r="B30" i="72"/>
  <c r="X29" i="72"/>
  <c r="Z29" i="72" s="1"/>
  <c r="L29" i="72"/>
  <c r="N29" i="72" s="1"/>
  <c r="J29" i="72"/>
  <c r="B29" i="72"/>
  <c r="Z28" i="72"/>
  <c r="X28" i="72"/>
  <c r="N28" i="72"/>
  <c r="L28" i="72"/>
  <c r="B28" i="72"/>
  <c r="Z27" i="72"/>
  <c r="X27" i="72"/>
  <c r="N27" i="72"/>
  <c r="L27" i="72"/>
  <c r="J27" i="72"/>
  <c r="F27" i="72"/>
  <c r="B27" i="72"/>
  <c r="X26" i="72"/>
  <c r="Z26" i="72" s="1"/>
  <c r="V26" i="72"/>
  <c r="L26" i="72"/>
  <c r="N26" i="72" s="1"/>
  <c r="F26" i="72"/>
  <c r="B26" i="72"/>
  <c r="Z25" i="72"/>
  <c r="X25" i="72"/>
  <c r="N25" i="72"/>
  <c r="L25" i="72"/>
  <c r="J25" i="72"/>
  <c r="F25" i="72"/>
  <c r="B25" i="72"/>
  <c r="X24" i="72"/>
  <c r="Z24" i="72" s="1"/>
  <c r="V24" i="72"/>
  <c r="L24" i="72"/>
  <c r="N24" i="72" s="1"/>
  <c r="B24" i="72"/>
  <c r="Z23" i="72"/>
  <c r="X23" i="72"/>
  <c r="N23" i="72"/>
  <c r="L23" i="72"/>
  <c r="J23" i="72"/>
  <c r="F23" i="72"/>
  <c r="B23" i="72"/>
  <c r="V22" i="72"/>
  <c r="T22" i="72"/>
  <c r="P22" i="72"/>
  <c r="X22" i="72" s="1"/>
  <c r="H22" i="72"/>
  <c r="D22" i="72"/>
  <c r="B22" i="72"/>
  <c r="Z21" i="72"/>
  <c r="X21" i="72"/>
  <c r="V21" i="72"/>
  <c r="T21" i="72"/>
  <c r="P21" i="72"/>
  <c r="N21" i="72"/>
  <c r="L21" i="72"/>
  <c r="J21" i="72"/>
  <c r="H21" i="72"/>
  <c r="D21" i="72"/>
  <c r="H19" i="72"/>
  <c r="H67" i="72" s="1"/>
  <c r="Z17" i="72"/>
  <c r="X17" i="72"/>
  <c r="N17" i="72"/>
  <c r="L17" i="72"/>
  <c r="J17" i="72"/>
  <c r="F17" i="72"/>
  <c r="B17" i="72"/>
  <c r="X16" i="72"/>
  <c r="Z16" i="72" s="1"/>
  <c r="L16" i="72"/>
  <c r="N16" i="72" s="1"/>
  <c r="J16" i="72"/>
  <c r="F16" i="72"/>
  <c r="B16" i="72"/>
  <c r="V15" i="72"/>
  <c r="T15" i="72"/>
  <c r="P15" i="72"/>
  <c r="J15" i="72"/>
  <c r="H15" i="72"/>
  <c r="L15" i="72" s="1"/>
  <c r="F15" i="72"/>
  <c r="D15" i="72"/>
  <c r="P13" i="72"/>
  <c r="P12" i="72" s="1"/>
  <c r="N13" i="72"/>
  <c r="L13" i="72"/>
  <c r="D13" i="72"/>
  <c r="B13" i="72"/>
  <c r="T12" i="72"/>
  <c r="V59" i="72" s="1"/>
  <c r="L12" i="72"/>
  <c r="H12" i="72"/>
  <c r="J69" i="72" s="1"/>
  <c r="D12" i="72"/>
  <c r="F67" i="72" s="1"/>
  <c r="D6" i="72"/>
  <c r="D4" i="72"/>
  <c r="X107" i="70"/>
  <c r="Z107" i="70" s="1"/>
  <c r="N107" i="70"/>
  <c r="L107" i="70"/>
  <c r="Z103" i="70"/>
  <c r="X103" i="70"/>
  <c r="P103" i="70"/>
  <c r="N103" i="70"/>
  <c r="D103" i="70"/>
  <c r="L103" i="70" s="1"/>
  <c r="B103" i="70"/>
  <c r="P102" i="70"/>
  <c r="X102" i="70" s="1"/>
  <c r="Z102" i="70" s="1"/>
  <c r="N102" i="70"/>
  <c r="D102" i="70"/>
  <c r="L102" i="70" s="1"/>
  <c r="B102" i="70"/>
  <c r="X101" i="70"/>
  <c r="Z101" i="70" s="1"/>
  <c r="P101" i="70"/>
  <c r="N101" i="70"/>
  <c r="D101" i="70"/>
  <c r="L101" i="70" s="1"/>
  <c r="B101" i="70"/>
  <c r="T100" i="70"/>
  <c r="Z100" i="70" s="1"/>
  <c r="P100" i="70"/>
  <c r="X100" i="70" s="1"/>
  <c r="H100" i="70"/>
  <c r="Z98" i="70"/>
  <c r="X98" i="70"/>
  <c r="N98" i="70"/>
  <c r="L98" i="70"/>
  <c r="B98" i="70"/>
  <c r="X97" i="70"/>
  <c r="T97" i="70"/>
  <c r="Z97" i="70" s="1"/>
  <c r="P97" i="70"/>
  <c r="H97" i="70"/>
  <c r="N97" i="70" s="1"/>
  <c r="D97" i="70"/>
  <c r="L97" i="70" s="1"/>
  <c r="B97" i="70"/>
  <c r="X96" i="70"/>
  <c r="Z96" i="70" s="1"/>
  <c r="N96" i="70"/>
  <c r="L96" i="70"/>
  <c r="B96" i="70"/>
  <c r="X95" i="70"/>
  <c r="Z95" i="70" s="1"/>
  <c r="N95" i="70"/>
  <c r="L95" i="70"/>
  <c r="B95" i="70"/>
  <c r="T94" i="70"/>
  <c r="P94" i="70"/>
  <c r="X94" i="70" s="1"/>
  <c r="Z94" i="70" s="1"/>
  <c r="H94" i="70"/>
  <c r="D94" i="70"/>
  <c r="L94" i="70" s="1"/>
  <c r="N94" i="70" s="1"/>
  <c r="B94" i="70"/>
  <c r="X93" i="70"/>
  <c r="Z93" i="70" s="1"/>
  <c r="L93" i="70"/>
  <c r="N93" i="70" s="1"/>
  <c r="B93" i="70"/>
  <c r="X92" i="70"/>
  <c r="Z92" i="70" s="1"/>
  <c r="N92" i="70"/>
  <c r="L92" i="70"/>
  <c r="B92" i="70"/>
  <c r="Z91" i="70"/>
  <c r="X91" i="70"/>
  <c r="L91" i="70"/>
  <c r="N91" i="70" s="1"/>
  <c r="B91" i="70"/>
  <c r="T90" i="70"/>
  <c r="P90" i="70"/>
  <c r="H90" i="70"/>
  <c r="L90" i="70" s="1"/>
  <c r="N90" i="70" s="1"/>
  <c r="D90" i="70"/>
  <c r="B90" i="70"/>
  <c r="X89" i="70"/>
  <c r="Z89" i="70" s="1"/>
  <c r="L89" i="70"/>
  <c r="N89" i="70" s="1"/>
  <c r="B89" i="70"/>
  <c r="T88" i="70"/>
  <c r="P88" i="70"/>
  <c r="H88" i="70"/>
  <c r="N88" i="70" s="1"/>
  <c r="D88" i="70"/>
  <c r="L88" i="70" s="1"/>
  <c r="B88" i="70"/>
  <c r="X87" i="70"/>
  <c r="Z87" i="70" s="1"/>
  <c r="L87" i="70"/>
  <c r="N87" i="70" s="1"/>
  <c r="B87" i="70"/>
  <c r="Z86" i="70"/>
  <c r="X86" i="70"/>
  <c r="N86" i="70"/>
  <c r="L86" i="70"/>
  <c r="B86" i="70"/>
  <c r="T85" i="70"/>
  <c r="P85" i="70"/>
  <c r="X85" i="70" s="1"/>
  <c r="H85" i="70"/>
  <c r="D85" i="70"/>
  <c r="B85" i="70"/>
  <c r="Z84" i="70"/>
  <c r="X84" i="70"/>
  <c r="N84" i="70"/>
  <c r="L84" i="70"/>
  <c r="B84" i="70"/>
  <c r="T83" i="70"/>
  <c r="P83" i="70"/>
  <c r="X83" i="70" s="1"/>
  <c r="H83" i="70"/>
  <c r="D83" i="70"/>
  <c r="L83" i="70" s="1"/>
  <c r="N83" i="70" s="1"/>
  <c r="B83" i="70"/>
  <c r="Z82" i="70"/>
  <c r="X82" i="70"/>
  <c r="N82" i="70"/>
  <c r="L82" i="70"/>
  <c r="B82" i="70"/>
  <c r="X81" i="70"/>
  <c r="Z81" i="70" s="1"/>
  <c r="L81" i="70"/>
  <c r="N81" i="70" s="1"/>
  <c r="B81" i="70"/>
  <c r="T80" i="70"/>
  <c r="P80" i="70"/>
  <c r="H80" i="70"/>
  <c r="D80" i="70"/>
  <c r="B80" i="70"/>
  <c r="X79" i="70"/>
  <c r="Z79" i="70" s="1"/>
  <c r="N79" i="70"/>
  <c r="L79" i="70"/>
  <c r="B79" i="70"/>
  <c r="T78" i="70"/>
  <c r="P78" i="70"/>
  <c r="X78" i="70" s="1"/>
  <c r="Z78" i="70" s="1"/>
  <c r="H78" i="70"/>
  <c r="D78" i="70"/>
  <c r="L78" i="70" s="1"/>
  <c r="N78" i="70" s="1"/>
  <c r="B78" i="70"/>
  <c r="X77" i="70"/>
  <c r="Z77" i="70" s="1"/>
  <c r="L77" i="70"/>
  <c r="N77" i="70" s="1"/>
  <c r="B77" i="70"/>
  <c r="T76" i="70"/>
  <c r="P76" i="70"/>
  <c r="H76" i="70"/>
  <c r="L76" i="70" s="1"/>
  <c r="D76" i="70"/>
  <c r="B76" i="70"/>
  <c r="X75" i="70"/>
  <c r="Z75" i="70" s="1"/>
  <c r="L75" i="70"/>
  <c r="N75" i="70" s="1"/>
  <c r="B75" i="70"/>
  <c r="T74" i="70"/>
  <c r="P74" i="70"/>
  <c r="H74" i="70"/>
  <c r="D74" i="70"/>
  <c r="B74" i="70"/>
  <c r="X73" i="70"/>
  <c r="Z73" i="70" s="1"/>
  <c r="N73" i="70"/>
  <c r="L73" i="70"/>
  <c r="B73" i="70"/>
  <c r="T72" i="70"/>
  <c r="P72" i="70"/>
  <c r="X72" i="70" s="1"/>
  <c r="Z72" i="70" s="1"/>
  <c r="H72" i="70"/>
  <c r="D72" i="70"/>
  <c r="L72" i="70" s="1"/>
  <c r="N72" i="70" s="1"/>
  <c r="B72" i="70"/>
  <c r="X71" i="70"/>
  <c r="Z71" i="70" s="1"/>
  <c r="L71" i="70"/>
  <c r="N71" i="70" s="1"/>
  <c r="B71" i="70"/>
  <c r="T70" i="70"/>
  <c r="P70" i="70"/>
  <c r="H70" i="70"/>
  <c r="L70" i="70" s="1"/>
  <c r="D70" i="70"/>
  <c r="B70" i="70"/>
  <c r="Z69" i="70"/>
  <c r="X69" i="70"/>
  <c r="N69" i="70"/>
  <c r="L69" i="70"/>
  <c r="B69" i="70"/>
  <c r="Z68" i="70"/>
  <c r="X68" i="70"/>
  <c r="N68" i="70"/>
  <c r="L68" i="70"/>
  <c r="B68" i="70"/>
  <c r="X67" i="70"/>
  <c r="Z67" i="70" s="1"/>
  <c r="L67" i="70"/>
  <c r="N67" i="70" s="1"/>
  <c r="B67" i="70"/>
  <c r="Z66" i="70"/>
  <c r="X66" i="70"/>
  <c r="L66" i="70"/>
  <c r="N66" i="70" s="1"/>
  <c r="B66" i="70"/>
  <c r="Z65" i="70"/>
  <c r="X65" i="70"/>
  <c r="N65" i="70"/>
  <c r="L65" i="70"/>
  <c r="B65" i="70"/>
  <c r="Z64" i="70"/>
  <c r="X64" i="70"/>
  <c r="N64" i="70"/>
  <c r="L64" i="70"/>
  <c r="B64" i="70"/>
  <c r="Z63" i="70"/>
  <c r="X63" i="70"/>
  <c r="L63" i="70"/>
  <c r="N63" i="70" s="1"/>
  <c r="B63" i="70"/>
  <c r="Z62" i="70"/>
  <c r="X62" i="70"/>
  <c r="N62" i="70"/>
  <c r="L62" i="70"/>
  <c r="B62" i="70"/>
  <c r="X61" i="70"/>
  <c r="Z61" i="70" s="1"/>
  <c r="L61" i="70"/>
  <c r="N61" i="70" s="1"/>
  <c r="B61" i="70"/>
  <c r="Z60" i="70"/>
  <c r="X60" i="70"/>
  <c r="N60" i="70"/>
  <c r="L60" i="70"/>
  <c r="B60" i="70"/>
  <c r="T59" i="70"/>
  <c r="Z59" i="70" s="1"/>
  <c r="P59" i="70"/>
  <c r="X59" i="70" s="1"/>
  <c r="L59" i="70"/>
  <c r="H59" i="70"/>
  <c r="N59" i="70" s="1"/>
  <c r="D59" i="70"/>
  <c r="B59" i="70"/>
  <c r="X58" i="70"/>
  <c r="Z58" i="70" s="1"/>
  <c r="L58" i="70"/>
  <c r="N58" i="70" s="1"/>
  <c r="B58" i="70"/>
  <c r="X57" i="70"/>
  <c r="Z57" i="70" s="1"/>
  <c r="N57" i="70"/>
  <c r="L57" i="70"/>
  <c r="B57" i="70"/>
  <c r="X56" i="70"/>
  <c r="Z56" i="70" s="1"/>
  <c r="L56" i="70"/>
  <c r="N56" i="70" s="1"/>
  <c r="B56" i="70"/>
  <c r="Z55" i="70"/>
  <c r="X55" i="70"/>
  <c r="N55" i="70"/>
  <c r="L55" i="70"/>
  <c r="B55" i="70"/>
  <c r="Z54" i="70"/>
  <c r="X54" i="70"/>
  <c r="N54" i="70"/>
  <c r="L54" i="70"/>
  <c r="B54" i="70"/>
  <c r="X53" i="70"/>
  <c r="Z53" i="70" s="1"/>
  <c r="L53" i="70"/>
  <c r="N53" i="70" s="1"/>
  <c r="B53" i="70"/>
  <c r="Z52" i="70"/>
  <c r="X52" i="70"/>
  <c r="N52" i="70"/>
  <c r="L52" i="70"/>
  <c r="B52" i="70"/>
  <c r="X51" i="70"/>
  <c r="Z51" i="70" s="1"/>
  <c r="V51" i="70"/>
  <c r="L51" i="70"/>
  <c r="N51" i="70" s="1"/>
  <c r="B51" i="70"/>
  <c r="Z50" i="70"/>
  <c r="X50" i="70"/>
  <c r="N50" i="70"/>
  <c r="L50" i="70"/>
  <c r="B50" i="70"/>
  <c r="X49" i="70"/>
  <c r="Z49" i="70" s="1"/>
  <c r="L49" i="70"/>
  <c r="N49" i="70" s="1"/>
  <c r="B49" i="70"/>
  <c r="Z48" i="70"/>
  <c r="X48" i="70"/>
  <c r="T48" i="70"/>
  <c r="P48" i="70"/>
  <c r="N48" i="70"/>
  <c r="L48" i="70"/>
  <c r="H48" i="70"/>
  <c r="D48" i="70"/>
  <c r="B48" i="70"/>
  <c r="T47" i="70"/>
  <c r="P47" i="70"/>
  <c r="H47" i="70"/>
  <c r="L47" i="70" s="1"/>
  <c r="N47" i="70" s="1"/>
  <c r="D47" i="70"/>
  <c r="Z43" i="70"/>
  <c r="X43" i="70"/>
  <c r="N43" i="70"/>
  <c r="L43" i="70"/>
  <c r="B43" i="70"/>
  <c r="Z42" i="70"/>
  <c r="X42" i="70"/>
  <c r="N42" i="70"/>
  <c r="L42" i="70"/>
  <c r="B42" i="70"/>
  <c r="Z41" i="70"/>
  <c r="X41" i="70"/>
  <c r="N41" i="70"/>
  <c r="L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N37" i="70"/>
  <c r="L37" i="70"/>
  <c r="B37" i="70"/>
  <c r="Z36" i="70"/>
  <c r="X36" i="70"/>
  <c r="N36" i="70"/>
  <c r="L36" i="70"/>
  <c r="B36" i="70"/>
  <c r="Z35" i="70"/>
  <c r="X35" i="70"/>
  <c r="N35" i="70"/>
  <c r="L35" i="70"/>
  <c r="B35" i="70"/>
  <c r="Z34" i="70"/>
  <c r="X34" i="70"/>
  <c r="V34" i="70"/>
  <c r="N34" i="70"/>
  <c r="L34" i="70"/>
  <c r="B34" i="70"/>
  <c r="X33" i="70"/>
  <c r="Z33" i="70" s="1"/>
  <c r="N33" i="70"/>
  <c r="L33" i="70"/>
  <c r="J33" i="70"/>
  <c r="B33" i="70"/>
  <c r="T32" i="70"/>
  <c r="X32" i="70" s="1"/>
  <c r="Z32" i="70" s="1"/>
  <c r="P32" i="70"/>
  <c r="H32" i="70"/>
  <c r="D32" i="70"/>
  <c r="Z30" i="70"/>
  <c r="P30" i="70"/>
  <c r="X30" i="70" s="1"/>
  <c r="N30" i="70"/>
  <c r="L30" i="70"/>
  <c r="D30" i="70"/>
  <c r="B30" i="70"/>
  <c r="Z29" i="70"/>
  <c r="P29" i="70"/>
  <c r="X29" i="70" s="1"/>
  <c r="N29" i="70"/>
  <c r="D29" i="70"/>
  <c r="L29" i="70" s="1"/>
  <c r="B29" i="70"/>
  <c r="Z28" i="70"/>
  <c r="P28" i="70"/>
  <c r="X28" i="70" s="1"/>
  <c r="N28" i="70"/>
  <c r="D28" i="70"/>
  <c r="L28" i="70" s="1"/>
  <c r="B28" i="70"/>
  <c r="Z27" i="70"/>
  <c r="X27" i="70"/>
  <c r="P27" i="70"/>
  <c r="N27" i="70"/>
  <c r="L27" i="70"/>
  <c r="D27" i="70"/>
  <c r="B27" i="70"/>
  <c r="Z26" i="70"/>
  <c r="P26" i="70"/>
  <c r="X26" i="70" s="1"/>
  <c r="N26" i="70"/>
  <c r="L26" i="70"/>
  <c r="D26" i="70"/>
  <c r="B26" i="70"/>
  <c r="Z25" i="70"/>
  <c r="P25" i="70"/>
  <c r="X25" i="70" s="1"/>
  <c r="N25" i="70"/>
  <c r="D25" i="70"/>
  <c r="L25" i="70" s="1"/>
  <c r="B25" i="70"/>
  <c r="Z24" i="70"/>
  <c r="X24" i="70"/>
  <c r="P24" i="70"/>
  <c r="N24" i="70"/>
  <c r="L24" i="70"/>
  <c r="D24" i="70"/>
  <c r="B24" i="70"/>
  <c r="Z23" i="70"/>
  <c r="P23" i="70"/>
  <c r="X23" i="70" s="1"/>
  <c r="N23" i="70"/>
  <c r="D23" i="70"/>
  <c r="L23" i="70" s="1"/>
  <c r="B23" i="70"/>
  <c r="Z22" i="70"/>
  <c r="P22" i="70"/>
  <c r="X22" i="70" s="1"/>
  <c r="N22" i="70"/>
  <c r="D22" i="70"/>
  <c r="L22" i="70" s="1"/>
  <c r="B22" i="70"/>
  <c r="Z21" i="70"/>
  <c r="X21" i="70"/>
  <c r="P21" i="70"/>
  <c r="N21" i="70"/>
  <c r="L21" i="70"/>
  <c r="D21" i="70"/>
  <c r="B21" i="70"/>
  <c r="Z20" i="70"/>
  <c r="P20" i="70"/>
  <c r="X20" i="70" s="1"/>
  <c r="N20" i="70"/>
  <c r="D20" i="70"/>
  <c r="L20" i="70" s="1"/>
  <c r="B20" i="70"/>
  <c r="Z19" i="70"/>
  <c r="P19" i="70"/>
  <c r="X19" i="70" s="1"/>
  <c r="N19" i="70"/>
  <c r="D19" i="70"/>
  <c r="L19" i="70" s="1"/>
  <c r="B19" i="70"/>
  <c r="Z18" i="70"/>
  <c r="X18" i="70"/>
  <c r="P18" i="70"/>
  <c r="N18" i="70"/>
  <c r="L18" i="70"/>
  <c r="D18" i="70"/>
  <c r="B18" i="70"/>
  <c r="Z17" i="70"/>
  <c r="X17" i="70"/>
  <c r="P17" i="70"/>
  <c r="N17" i="70"/>
  <c r="D17" i="70"/>
  <c r="L17" i="70" s="1"/>
  <c r="B17" i="70"/>
  <c r="Z16" i="70"/>
  <c r="P16" i="70"/>
  <c r="X16" i="70" s="1"/>
  <c r="N16" i="70"/>
  <c r="D16" i="70"/>
  <c r="L16" i="70" s="1"/>
  <c r="B16" i="70"/>
  <c r="Z15" i="70"/>
  <c r="X15" i="70"/>
  <c r="P15" i="70"/>
  <c r="N15" i="70"/>
  <c r="L15" i="70"/>
  <c r="D15" i="70"/>
  <c r="B15" i="70"/>
  <c r="Z14" i="70"/>
  <c r="P14" i="70"/>
  <c r="X14" i="70" s="1"/>
  <c r="N14" i="70"/>
  <c r="L14" i="70"/>
  <c r="D14" i="70"/>
  <c r="B14" i="70"/>
  <c r="P13" i="70"/>
  <c r="D13" i="70"/>
  <c r="L13" i="70" s="1"/>
  <c r="N13" i="70" s="1"/>
  <c r="B13" i="70"/>
  <c r="T12" i="70"/>
  <c r="V86" i="70" s="1"/>
  <c r="H12" i="70"/>
  <c r="J91" i="70" s="1"/>
  <c r="D6" i="70"/>
  <c r="D4" i="70"/>
  <c r="J62" i="69"/>
  <c r="J59" i="69"/>
  <c r="Z57" i="69"/>
  <c r="X57" i="69"/>
  <c r="N57" i="69"/>
  <c r="L57" i="69"/>
  <c r="J57" i="69"/>
  <c r="J55" i="69"/>
  <c r="T53" i="69"/>
  <c r="Z53" i="69" s="1"/>
  <c r="P53" i="69"/>
  <c r="N53" i="69"/>
  <c r="L53" i="69"/>
  <c r="J53" i="69"/>
  <c r="H53" i="69"/>
  <c r="D53" i="69"/>
  <c r="Z51" i="69"/>
  <c r="X51" i="69"/>
  <c r="N51" i="69"/>
  <c r="L51" i="69"/>
  <c r="J51" i="69"/>
  <c r="B51" i="69"/>
  <c r="X50" i="69"/>
  <c r="T50" i="69"/>
  <c r="Z50" i="69" s="1"/>
  <c r="P50" i="69"/>
  <c r="N50" i="69"/>
  <c r="H50" i="69"/>
  <c r="D50" i="69"/>
  <c r="L50" i="69" s="1"/>
  <c r="B50" i="69"/>
  <c r="Z49" i="69"/>
  <c r="X49" i="69"/>
  <c r="N49" i="69"/>
  <c r="L49" i="69"/>
  <c r="J49" i="69"/>
  <c r="B49" i="69"/>
  <c r="Z48" i="69"/>
  <c r="X48" i="69"/>
  <c r="N48" i="69"/>
  <c r="L48" i="69"/>
  <c r="J48" i="69"/>
  <c r="B48" i="69"/>
  <c r="T47" i="69"/>
  <c r="Z47" i="69" s="1"/>
  <c r="P47" i="69"/>
  <c r="X47" i="69" s="1"/>
  <c r="N47" i="69"/>
  <c r="J47" i="69"/>
  <c r="H47" i="69"/>
  <c r="D47" i="69"/>
  <c r="L47" i="69" s="1"/>
  <c r="B47" i="69"/>
  <c r="Z46" i="69"/>
  <c r="X46" i="69"/>
  <c r="V46" i="69"/>
  <c r="N46" i="69"/>
  <c r="L46" i="69"/>
  <c r="B46" i="69"/>
  <c r="Z45" i="69"/>
  <c r="X45" i="69"/>
  <c r="N45" i="69"/>
  <c r="L45" i="69"/>
  <c r="J45" i="69"/>
  <c r="B45" i="69"/>
  <c r="X44" i="69"/>
  <c r="T44" i="69"/>
  <c r="Z44" i="69" s="1"/>
  <c r="P44" i="69"/>
  <c r="J44" i="69"/>
  <c r="H44" i="69"/>
  <c r="N44" i="69" s="1"/>
  <c r="D44" i="69"/>
  <c r="B44" i="69"/>
  <c r="Z43" i="69"/>
  <c r="X43" i="69"/>
  <c r="N43" i="69"/>
  <c r="L43" i="69"/>
  <c r="J43" i="69"/>
  <c r="B43" i="69"/>
  <c r="T42" i="69"/>
  <c r="Z42" i="69" s="1"/>
  <c r="P42" i="69"/>
  <c r="N42" i="69"/>
  <c r="L42" i="69"/>
  <c r="H42" i="69"/>
  <c r="D42" i="69"/>
  <c r="B42" i="69"/>
  <c r="Z41" i="69"/>
  <c r="X41" i="69"/>
  <c r="V41" i="69"/>
  <c r="N41" i="69"/>
  <c r="L41" i="69"/>
  <c r="J41" i="69"/>
  <c r="B41" i="69"/>
  <c r="Z40" i="69"/>
  <c r="X40" i="69"/>
  <c r="T40" i="69"/>
  <c r="P40" i="69"/>
  <c r="N40" i="69"/>
  <c r="J40" i="69"/>
  <c r="H40" i="69"/>
  <c r="L40" i="69" s="1"/>
  <c r="D40" i="69"/>
  <c r="B40" i="69"/>
  <c r="Z39" i="69"/>
  <c r="X39" i="69"/>
  <c r="V39" i="69"/>
  <c r="N39" i="69"/>
  <c r="L39" i="69"/>
  <c r="J39" i="69"/>
  <c r="B39" i="69"/>
  <c r="Z38" i="69"/>
  <c r="X38" i="69"/>
  <c r="V38" i="69"/>
  <c r="N38" i="69"/>
  <c r="L38" i="69"/>
  <c r="B38" i="69"/>
  <c r="Z37" i="69"/>
  <c r="X37" i="69"/>
  <c r="N37" i="69"/>
  <c r="L37" i="69"/>
  <c r="J37" i="69"/>
  <c r="B37" i="69"/>
  <c r="Z36" i="69"/>
  <c r="X36" i="69"/>
  <c r="V36" i="69"/>
  <c r="N36" i="69"/>
  <c r="L36" i="69"/>
  <c r="B36" i="69"/>
  <c r="Z35" i="69"/>
  <c r="X35" i="69"/>
  <c r="V35" i="69"/>
  <c r="N35" i="69"/>
  <c r="L35" i="69"/>
  <c r="J35" i="69"/>
  <c r="B35" i="69"/>
  <c r="Z34" i="69"/>
  <c r="X34" i="69"/>
  <c r="V34" i="69"/>
  <c r="N34" i="69"/>
  <c r="L34" i="69"/>
  <c r="B34" i="69"/>
  <c r="Z33" i="69"/>
  <c r="X33" i="69"/>
  <c r="N33" i="69"/>
  <c r="L33" i="69"/>
  <c r="J33" i="69"/>
  <c r="B33" i="69"/>
  <c r="Z32" i="69"/>
  <c r="X32" i="69"/>
  <c r="V32" i="69"/>
  <c r="N32" i="69"/>
  <c r="L32" i="69"/>
  <c r="B32" i="69"/>
  <c r="Z31" i="69"/>
  <c r="X31" i="69"/>
  <c r="V31" i="69"/>
  <c r="N31" i="69"/>
  <c r="L31" i="69"/>
  <c r="J31" i="69"/>
  <c r="B31" i="69"/>
  <c r="Z30" i="69"/>
  <c r="X30" i="69"/>
  <c r="N30" i="69"/>
  <c r="L30" i="69"/>
  <c r="B30" i="69"/>
  <c r="Z29" i="69"/>
  <c r="V29" i="69"/>
  <c r="T29" i="69"/>
  <c r="P29" i="69"/>
  <c r="X29" i="69" s="1"/>
  <c r="N29" i="69"/>
  <c r="J29" i="69"/>
  <c r="H29" i="69"/>
  <c r="D29" i="69"/>
  <c r="L29" i="69" s="1"/>
  <c r="B29" i="69"/>
  <c r="Z28" i="69"/>
  <c r="X28" i="69"/>
  <c r="N28" i="69"/>
  <c r="L28" i="69"/>
  <c r="J28" i="69"/>
  <c r="B28" i="69"/>
  <c r="Z27" i="69"/>
  <c r="X27" i="69"/>
  <c r="V27" i="69"/>
  <c r="N27" i="69"/>
  <c r="L27" i="69"/>
  <c r="J27" i="69"/>
  <c r="B27" i="69"/>
  <c r="Z26" i="69"/>
  <c r="X26" i="69"/>
  <c r="N26" i="69"/>
  <c r="L26" i="69"/>
  <c r="J26" i="69"/>
  <c r="B26" i="69"/>
  <c r="Z25" i="69"/>
  <c r="X25" i="69"/>
  <c r="V25" i="69"/>
  <c r="N25" i="69"/>
  <c r="L25" i="69"/>
  <c r="J25" i="69"/>
  <c r="B25" i="69"/>
  <c r="Z24" i="69"/>
  <c r="X24" i="69"/>
  <c r="N24" i="69"/>
  <c r="L24" i="69"/>
  <c r="J24" i="69"/>
  <c r="B24" i="69"/>
  <c r="Z23" i="69"/>
  <c r="X23" i="69"/>
  <c r="N23" i="69"/>
  <c r="L23" i="69"/>
  <c r="J23" i="69"/>
  <c r="B23" i="69"/>
  <c r="Z22" i="69"/>
  <c r="X22" i="69"/>
  <c r="N22" i="69"/>
  <c r="L22" i="69"/>
  <c r="J22" i="69"/>
  <c r="B22" i="69"/>
  <c r="Z21" i="69"/>
  <c r="X21" i="69"/>
  <c r="N21" i="69"/>
  <c r="L21" i="69"/>
  <c r="J21" i="69"/>
  <c r="B21" i="69"/>
  <c r="T20" i="69"/>
  <c r="Z20" i="69" s="1"/>
  <c r="P20" i="69"/>
  <c r="X20" i="69" s="1"/>
  <c r="H20" i="69"/>
  <c r="N20" i="69" s="1"/>
  <c r="D20" i="69"/>
  <c r="L20" i="69" s="1"/>
  <c r="B20" i="69"/>
  <c r="T19" i="69"/>
  <c r="Z19" i="69" s="1"/>
  <c r="P19" i="69"/>
  <c r="N19" i="69"/>
  <c r="J19" i="69"/>
  <c r="H19" i="69"/>
  <c r="D19" i="69"/>
  <c r="L19" i="69" s="1"/>
  <c r="V17" i="69"/>
  <c r="J17" i="69"/>
  <c r="H17" i="69"/>
  <c r="H55" i="69" s="1"/>
  <c r="N55" i="69" s="1"/>
  <c r="Z15" i="69"/>
  <c r="V15" i="69"/>
  <c r="T15" i="69"/>
  <c r="P15" i="69"/>
  <c r="J15" i="69"/>
  <c r="H15" i="69"/>
  <c r="N15" i="69" s="1"/>
  <c r="D15" i="69"/>
  <c r="L15" i="69" s="1"/>
  <c r="Z13" i="69"/>
  <c r="P13" i="69"/>
  <c r="X13" i="69" s="1"/>
  <c r="N13" i="69"/>
  <c r="L13" i="69"/>
  <c r="D13" i="69"/>
  <c r="D12" i="69" s="1"/>
  <c r="B13" i="69"/>
  <c r="T12" i="69"/>
  <c r="V44" i="69" s="1"/>
  <c r="P12" i="69"/>
  <c r="R36" i="69" s="1"/>
  <c r="N12" i="69"/>
  <c r="H12" i="69"/>
  <c r="J50" i="69" s="1"/>
  <c r="D6" i="69"/>
  <c r="D4" i="69"/>
  <c r="Z85" i="68"/>
  <c r="X85" i="68"/>
  <c r="L85" i="68"/>
  <c r="N85" i="68" s="1"/>
  <c r="T81" i="68"/>
  <c r="Z81" i="68" s="1"/>
  <c r="P81" i="68"/>
  <c r="X81" i="68" s="1"/>
  <c r="H81" i="68"/>
  <c r="N81" i="68" s="1"/>
  <c r="D81" i="68"/>
  <c r="X79" i="68"/>
  <c r="Z79" i="68" s="1"/>
  <c r="N79" i="68"/>
  <c r="L79" i="68"/>
  <c r="B79" i="68"/>
  <c r="T78" i="68"/>
  <c r="P78" i="68"/>
  <c r="X78" i="68" s="1"/>
  <c r="Z78" i="68" s="1"/>
  <c r="H78" i="68"/>
  <c r="D78" i="68"/>
  <c r="L78" i="68" s="1"/>
  <c r="N78" i="68" s="1"/>
  <c r="B78" i="68"/>
  <c r="Z77" i="68"/>
  <c r="X77" i="68"/>
  <c r="N77" i="68"/>
  <c r="L77" i="68"/>
  <c r="B77" i="68"/>
  <c r="X76" i="68"/>
  <c r="Z76" i="68" s="1"/>
  <c r="N76" i="68"/>
  <c r="L76" i="68"/>
  <c r="B76" i="68"/>
  <c r="T75" i="68"/>
  <c r="X75" i="68" s="1"/>
  <c r="Z75" i="68" s="1"/>
  <c r="P75" i="68"/>
  <c r="H75" i="68"/>
  <c r="L75" i="68" s="1"/>
  <c r="N75" i="68" s="1"/>
  <c r="D75" i="68"/>
  <c r="B75" i="68"/>
  <c r="Z74" i="68"/>
  <c r="X74" i="68"/>
  <c r="L74" i="68"/>
  <c r="N74" i="68" s="1"/>
  <c r="B74" i="68"/>
  <c r="X73" i="68"/>
  <c r="Z73" i="68" s="1"/>
  <c r="L73" i="68"/>
  <c r="N73" i="68" s="1"/>
  <c r="B73" i="68"/>
  <c r="Z72" i="68"/>
  <c r="X72" i="68"/>
  <c r="N72" i="68"/>
  <c r="L72" i="68"/>
  <c r="B72" i="68"/>
  <c r="Z71" i="68"/>
  <c r="X71" i="68"/>
  <c r="L71" i="68"/>
  <c r="N71" i="68" s="1"/>
  <c r="B71" i="68"/>
  <c r="T70" i="68"/>
  <c r="P70" i="68"/>
  <c r="X70" i="68" s="1"/>
  <c r="Z70" i="68" s="1"/>
  <c r="H70" i="68"/>
  <c r="D70" i="68"/>
  <c r="B70" i="68"/>
  <c r="X69" i="68"/>
  <c r="Z69" i="68" s="1"/>
  <c r="L69" i="68"/>
  <c r="N69" i="68" s="1"/>
  <c r="B69" i="68"/>
  <c r="Z68" i="68"/>
  <c r="X68" i="68"/>
  <c r="N68" i="68"/>
  <c r="L68" i="68"/>
  <c r="B68" i="68"/>
  <c r="T67" i="68"/>
  <c r="P67" i="68"/>
  <c r="X67" i="68" s="1"/>
  <c r="L67" i="68"/>
  <c r="H67" i="68"/>
  <c r="D67" i="68"/>
  <c r="B67" i="68"/>
  <c r="Z66" i="68"/>
  <c r="X66" i="68"/>
  <c r="N66" i="68"/>
  <c r="L66" i="68"/>
  <c r="B66" i="68"/>
  <c r="Z65" i="68"/>
  <c r="X65" i="68"/>
  <c r="N65" i="68"/>
  <c r="L65" i="68"/>
  <c r="B65" i="68"/>
  <c r="X64" i="68"/>
  <c r="Z64" i="68" s="1"/>
  <c r="T64" i="68"/>
  <c r="P64" i="68"/>
  <c r="L64" i="68"/>
  <c r="N64" i="68" s="1"/>
  <c r="H64" i="68"/>
  <c r="D64" i="68"/>
  <c r="B64" i="68"/>
  <c r="Z63" i="68"/>
  <c r="X63" i="68"/>
  <c r="N63" i="68"/>
  <c r="L63" i="68"/>
  <c r="B63" i="68"/>
  <c r="T62" i="68"/>
  <c r="P62" i="68"/>
  <c r="H62" i="68"/>
  <c r="N62" i="68" s="1"/>
  <c r="D62" i="68"/>
  <c r="L62" i="68" s="1"/>
  <c r="B62" i="68"/>
  <c r="X61" i="68"/>
  <c r="Z61" i="68" s="1"/>
  <c r="N61" i="68"/>
  <c r="L61" i="68"/>
  <c r="B61" i="68"/>
  <c r="Z60" i="68"/>
  <c r="X60" i="68"/>
  <c r="T60" i="68"/>
  <c r="P60" i="68"/>
  <c r="N60" i="68"/>
  <c r="L60" i="68"/>
  <c r="H60" i="68"/>
  <c r="D60" i="68"/>
  <c r="B60" i="68"/>
  <c r="X59" i="68"/>
  <c r="Z59" i="68" s="1"/>
  <c r="L59" i="68"/>
  <c r="N59" i="68" s="1"/>
  <c r="B59" i="68"/>
  <c r="T58" i="68"/>
  <c r="P58" i="68"/>
  <c r="H58" i="68"/>
  <c r="L58" i="68" s="1"/>
  <c r="N58" i="68" s="1"/>
  <c r="D58" i="68"/>
  <c r="B58" i="68"/>
  <c r="X57" i="68"/>
  <c r="Z57" i="68" s="1"/>
  <c r="L57" i="68"/>
  <c r="N57" i="68" s="1"/>
  <c r="B57" i="68"/>
  <c r="T56" i="68"/>
  <c r="P56" i="68"/>
  <c r="H56" i="68"/>
  <c r="N56" i="68" s="1"/>
  <c r="D56" i="68"/>
  <c r="L56" i="68" s="1"/>
  <c r="B56" i="68"/>
  <c r="X55" i="68"/>
  <c r="Z55" i="68" s="1"/>
  <c r="L55" i="68"/>
  <c r="N55" i="68" s="1"/>
  <c r="B55" i="68"/>
  <c r="Z54" i="68"/>
  <c r="X54" i="68"/>
  <c r="T54" i="68"/>
  <c r="P54" i="68"/>
  <c r="N54" i="68"/>
  <c r="L54" i="68"/>
  <c r="H54" i="68"/>
  <c r="D54" i="68"/>
  <c r="B54" i="68"/>
  <c r="Z53" i="68"/>
  <c r="X53" i="68"/>
  <c r="N53" i="68"/>
  <c r="L53" i="68"/>
  <c r="B53" i="68"/>
  <c r="T52" i="68"/>
  <c r="Z52" i="68" s="1"/>
  <c r="P52" i="68"/>
  <c r="N52" i="68"/>
  <c r="H52" i="68"/>
  <c r="L52" i="68" s="1"/>
  <c r="D52" i="68"/>
  <c r="B52" i="68"/>
  <c r="X51" i="68"/>
  <c r="Z51" i="68" s="1"/>
  <c r="L51" i="68"/>
  <c r="N51" i="68" s="1"/>
  <c r="B51" i="68"/>
  <c r="T50" i="68"/>
  <c r="P50" i="68"/>
  <c r="H50" i="68"/>
  <c r="N50" i="68" s="1"/>
  <c r="D50" i="68"/>
  <c r="L50" i="68" s="1"/>
  <c r="B50" i="68"/>
  <c r="Z49" i="68"/>
  <c r="X49" i="68"/>
  <c r="N49" i="68"/>
  <c r="L49" i="68"/>
  <c r="B49" i="68"/>
  <c r="Z48" i="68"/>
  <c r="X48" i="68"/>
  <c r="N48" i="68"/>
  <c r="L48" i="68"/>
  <c r="B48" i="68"/>
  <c r="X47" i="68"/>
  <c r="Z47" i="68" s="1"/>
  <c r="N47" i="68"/>
  <c r="L47" i="68"/>
  <c r="B47" i="68"/>
  <c r="Z46" i="68"/>
  <c r="X46" i="68"/>
  <c r="N46" i="68"/>
  <c r="L46" i="68"/>
  <c r="B46" i="68"/>
  <c r="Z45" i="68"/>
  <c r="X45" i="68"/>
  <c r="N45" i="68"/>
  <c r="L45" i="68"/>
  <c r="B45" i="68"/>
  <c r="Z44" i="68"/>
  <c r="X44" i="68"/>
  <c r="N44" i="68"/>
  <c r="L44" i="68"/>
  <c r="B44" i="68"/>
  <c r="X43" i="68"/>
  <c r="Z43" i="68" s="1"/>
  <c r="N43" i="68"/>
  <c r="L43" i="68"/>
  <c r="B43" i="68"/>
  <c r="Z42" i="68"/>
  <c r="X42" i="68"/>
  <c r="N42" i="68"/>
  <c r="L42" i="68"/>
  <c r="B42" i="68"/>
  <c r="Z41" i="68"/>
  <c r="X41" i="68"/>
  <c r="N41" i="68"/>
  <c r="L41" i="68"/>
  <c r="B41" i="68"/>
  <c r="Z40" i="68"/>
  <c r="X40" i="68"/>
  <c r="N40" i="68"/>
  <c r="L40" i="68"/>
  <c r="B40" i="68"/>
  <c r="T39" i="68"/>
  <c r="P39" i="68"/>
  <c r="X39" i="68" s="1"/>
  <c r="H39" i="68"/>
  <c r="D39" i="68"/>
  <c r="L39" i="68" s="1"/>
  <c r="B39" i="68"/>
  <c r="X38" i="68"/>
  <c r="Z38" i="68" s="1"/>
  <c r="N38" i="68"/>
  <c r="L38" i="68"/>
  <c r="B38" i="68"/>
  <c r="Z37" i="68"/>
  <c r="X37" i="68"/>
  <c r="L37" i="68"/>
  <c r="N37" i="68" s="1"/>
  <c r="B37" i="68"/>
  <c r="Z36" i="68"/>
  <c r="X36" i="68"/>
  <c r="N36" i="68"/>
  <c r="L36" i="68"/>
  <c r="B36" i="68"/>
  <c r="Z35" i="68"/>
  <c r="X35" i="68"/>
  <c r="N35" i="68"/>
  <c r="L35" i="68"/>
  <c r="B35" i="68"/>
  <c r="X34" i="68"/>
  <c r="Z34" i="68" s="1"/>
  <c r="N34" i="68"/>
  <c r="L34" i="68"/>
  <c r="B34" i="68"/>
  <c r="X33" i="68"/>
  <c r="Z33" i="68" s="1"/>
  <c r="L33" i="68"/>
  <c r="N33" i="68" s="1"/>
  <c r="B33" i="68"/>
  <c r="X32" i="68"/>
  <c r="Z32" i="68" s="1"/>
  <c r="N32" i="68"/>
  <c r="L32" i="68"/>
  <c r="B32" i="68"/>
  <c r="X31" i="68"/>
  <c r="Z31" i="68" s="1"/>
  <c r="L31" i="68"/>
  <c r="N31" i="68" s="1"/>
  <c r="B31" i="68"/>
  <c r="T30" i="68"/>
  <c r="P30" i="68"/>
  <c r="H30" i="68"/>
  <c r="D30" i="68"/>
  <c r="B30" i="68"/>
  <c r="Z29" i="68"/>
  <c r="X29" i="68"/>
  <c r="T29" i="68"/>
  <c r="P29" i="68"/>
  <c r="H29" i="68"/>
  <c r="D29" i="68"/>
  <c r="Z25" i="68"/>
  <c r="X25" i="68"/>
  <c r="N25" i="68"/>
  <c r="L25" i="68"/>
  <c r="B25" i="68"/>
  <c r="Z24" i="68"/>
  <c r="X24" i="68"/>
  <c r="N24" i="68"/>
  <c r="L24" i="68"/>
  <c r="B24" i="68"/>
  <c r="X23" i="68"/>
  <c r="Z23" i="68" s="1"/>
  <c r="L23" i="68"/>
  <c r="N23" i="68" s="1"/>
  <c r="B23" i="68"/>
  <c r="T22" i="68"/>
  <c r="P22" i="68"/>
  <c r="N22" i="68"/>
  <c r="H22" i="68"/>
  <c r="D22" i="68"/>
  <c r="L22" i="68" s="1"/>
  <c r="Z20" i="68"/>
  <c r="P20" i="68"/>
  <c r="X20" i="68" s="1"/>
  <c r="N20" i="68"/>
  <c r="D20" i="68"/>
  <c r="L20" i="68" s="1"/>
  <c r="B20" i="68"/>
  <c r="Z19" i="68"/>
  <c r="X19" i="68"/>
  <c r="P19" i="68"/>
  <c r="N19" i="68"/>
  <c r="L19" i="68"/>
  <c r="D19" i="68"/>
  <c r="B19" i="68"/>
  <c r="Z18" i="68"/>
  <c r="P18" i="68"/>
  <c r="X18" i="68" s="1"/>
  <c r="N18" i="68"/>
  <c r="L18" i="68"/>
  <c r="D18" i="68"/>
  <c r="B18" i="68"/>
  <c r="P17" i="68"/>
  <c r="X17" i="68" s="1"/>
  <c r="Z17" i="68" s="1"/>
  <c r="D17" i="68"/>
  <c r="L17" i="68" s="1"/>
  <c r="N17" i="68" s="1"/>
  <c r="B17" i="68"/>
  <c r="Z16" i="68"/>
  <c r="P16" i="68"/>
  <c r="X16" i="68" s="1"/>
  <c r="N16" i="68"/>
  <c r="D16" i="68"/>
  <c r="L16" i="68" s="1"/>
  <c r="B16" i="68"/>
  <c r="Z15" i="68"/>
  <c r="X15" i="68"/>
  <c r="P15" i="68"/>
  <c r="N15" i="68"/>
  <c r="L15" i="68"/>
  <c r="D15" i="68"/>
  <c r="B15" i="68"/>
  <c r="Z14" i="68"/>
  <c r="P14" i="68"/>
  <c r="X14" i="68" s="1"/>
  <c r="N14" i="68"/>
  <c r="L14" i="68"/>
  <c r="D14" i="68"/>
  <c r="B14" i="68"/>
  <c r="Z13" i="68"/>
  <c r="P13" i="68"/>
  <c r="P12" i="68" s="1"/>
  <c r="N13" i="68"/>
  <c r="D13" i="68"/>
  <c r="L13" i="68" s="1"/>
  <c r="B13" i="68"/>
  <c r="T12" i="68"/>
  <c r="V68" i="68" s="1"/>
  <c r="H12" i="68"/>
  <c r="J68" i="68" s="1"/>
  <c r="D6" i="68"/>
  <c r="D4" i="68"/>
  <c r="Z97" i="63"/>
  <c r="X97" i="63"/>
  <c r="N97" i="63"/>
  <c r="L97" i="63"/>
  <c r="P93" i="63"/>
  <c r="X93" i="63" s="1"/>
  <c r="Z93" i="63" s="1"/>
  <c r="D93" i="63"/>
  <c r="L93" i="63" s="1"/>
  <c r="N93" i="63" s="1"/>
  <c r="B93" i="63"/>
  <c r="P92" i="63"/>
  <c r="X92" i="63" s="1"/>
  <c r="Z92" i="63" s="1"/>
  <c r="D92" i="63"/>
  <c r="L92" i="63" s="1"/>
  <c r="N92" i="63" s="1"/>
  <c r="B92" i="63"/>
  <c r="X91" i="63"/>
  <c r="Z91" i="63" s="1"/>
  <c r="T91" i="63"/>
  <c r="P91" i="63"/>
  <c r="H91" i="63"/>
  <c r="X89" i="63"/>
  <c r="Z89" i="63" s="1"/>
  <c r="N89" i="63"/>
  <c r="L89" i="63"/>
  <c r="B89" i="63"/>
  <c r="X88" i="63"/>
  <c r="T88" i="63"/>
  <c r="Z88" i="63" s="1"/>
  <c r="P88" i="63"/>
  <c r="L88" i="63"/>
  <c r="H88" i="63"/>
  <c r="N88" i="63" s="1"/>
  <c r="D88" i="63"/>
  <c r="B88" i="63"/>
  <c r="Z87" i="63"/>
  <c r="X87" i="63"/>
  <c r="N87" i="63"/>
  <c r="L87" i="63"/>
  <c r="B87" i="63"/>
  <c r="T86" i="63"/>
  <c r="Z86" i="63" s="1"/>
  <c r="P86" i="63"/>
  <c r="X86" i="63" s="1"/>
  <c r="N86" i="63"/>
  <c r="H86" i="63"/>
  <c r="D86" i="63"/>
  <c r="L86" i="63" s="1"/>
  <c r="B86" i="63"/>
  <c r="Z85" i="63"/>
  <c r="X85" i="63"/>
  <c r="N85" i="63"/>
  <c r="L85" i="63"/>
  <c r="B85" i="63"/>
  <c r="Z84" i="63"/>
  <c r="T84" i="63"/>
  <c r="P84" i="63"/>
  <c r="X84" i="63" s="1"/>
  <c r="N84" i="63"/>
  <c r="J84" i="63"/>
  <c r="H84" i="63"/>
  <c r="D84" i="63"/>
  <c r="L84" i="63" s="1"/>
  <c r="B84" i="63"/>
  <c r="X83" i="63"/>
  <c r="Z83" i="63" s="1"/>
  <c r="N83" i="63"/>
  <c r="L83" i="63"/>
  <c r="B83" i="63"/>
  <c r="X82" i="63"/>
  <c r="T82" i="63"/>
  <c r="Z82" i="63" s="1"/>
  <c r="P82" i="63"/>
  <c r="L82" i="63"/>
  <c r="H82" i="63"/>
  <c r="N82" i="63" s="1"/>
  <c r="D82" i="63"/>
  <c r="B82" i="63"/>
  <c r="Z81" i="63"/>
  <c r="X81" i="63"/>
  <c r="L81" i="63"/>
  <c r="N81" i="63" s="1"/>
  <c r="J81" i="63"/>
  <c r="B81" i="63"/>
  <c r="Z80" i="63"/>
  <c r="X80" i="63"/>
  <c r="N80" i="63"/>
  <c r="L80" i="63"/>
  <c r="B80" i="63"/>
  <c r="Z79" i="63"/>
  <c r="X79" i="63"/>
  <c r="N79" i="63"/>
  <c r="L79" i="63"/>
  <c r="B79" i="63"/>
  <c r="Z78" i="63"/>
  <c r="X78" i="63"/>
  <c r="N78" i="63"/>
  <c r="L78" i="63"/>
  <c r="J78" i="63"/>
  <c r="B78" i="63"/>
  <c r="Z77" i="63"/>
  <c r="X77" i="63"/>
  <c r="L77" i="63"/>
  <c r="N77" i="63" s="1"/>
  <c r="J77" i="63"/>
  <c r="B77" i="63"/>
  <c r="Z76" i="63"/>
  <c r="X76" i="63"/>
  <c r="N76" i="63"/>
  <c r="L76" i="63"/>
  <c r="J76" i="63"/>
  <c r="B76" i="63"/>
  <c r="T75" i="63"/>
  <c r="P75" i="63"/>
  <c r="H75" i="63"/>
  <c r="D75" i="63"/>
  <c r="B75" i="63"/>
  <c r="Z74" i="63"/>
  <c r="X74" i="63"/>
  <c r="L74" i="63"/>
  <c r="N74" i="63" s="1"/>
  <c r="B74" i="63"/>
  <c r="T73" i="63"/>
  <c r="P73" i="63"/>
  <c r="X73" i="63" s="1"/>
  <c r="H73" i="63"/>
  <c r="N73" i="63" s="1"/>
  <c r="D73" i="63"/>
  <c r="L73" i="63" s="1"/>
  <c r="B73" i="63"/>
  <c r="X72" i="63"/>
  <c r="Z72" i="63" s="1"/>
  <c r="N72" i="63"/>
  <c r="L72" i="63"/>
  <c r="B72" i="63"/>
  <c r="Z71" i="63"/>
  <c r="X71" i="63"/>
  <c r="N71" i="63"/>
  <c r="L71" i="63"/>
  <c r="B71" i="63"/>
  <c r="X70" i="63"/>
  <c r="Z70" i="63" s="1"/>
  <c r="N70" i="63"/>
  <c r="L70" i="63"/>
  <c r="B70" i="63"/>
  <c r="X69" i="63"/>
  <c r="Z69" i="63" s="1"/>
  <c r="T69" i="63"/>
  <c r="P69" i="63"/>
  <c r="L69" i="63"/>
  <c r="N69" i="63" s="1"/>
  <c r="H69" i="63"/>
  <c r="D69" i="63"/>
  <c r="B69" i="63"/>
  <c r="Z68" i="63"/>
  <c r="X68" i="63"/>
  <c r="N68" i="63"/>
  <c r="L68" i="63"/>
  <c r="J68" i="63"/>
  <c r="B68" i="63"/>
  <c r="Z67" i="63"/>
  <c r="X67" i="63"/>
  <c r="L67" i="63"/>
  <c r="N67" i="63" s="1"/>
  <c r="J67" i="63"/>
  <c r="B67" i="63"/>
  <c r="Z66" i="63"/>
  <c r="X66" i="63"/>
  <c r="N66" i="63"/>
  <c r="L66" i="63"/>
  <c r="J66" i="63"/>
  <c r="B66" i="63"/>
  <c r="Z65" i="63"/>
  <c r="X65" i="63"/>
  <c r="N65" i="63"/>
  <c r="L65" i="63"/>
  <c r="J65" i="63"/>
  <c r="B65" i="63"/>
  <c r="T64" i="63"/>
  <c r="P64" i="63"/>
  <c r="X64" i="63" s="1"/>
  <c r="Z64" i="63" s="1"/>
  <c r="H64" i="63"/>
  <c r="N64" i="63" s="1"/>
  <c r="D64" i="63"/>
  <c r="L64" i="63" s="1"/>
  <c r="B64" i="63"/>
  <c r="X63" i="63"/>
  <c r="Z63" i="63" s="1"/>
  <c r="L63" i="63"/>
  <c r="N63" i="63" s="1"/>
  <c r="B63" i="63"/>
  <c r="X62" i="63"/>
  <c r="Z62" i="63" s="1"/>
  <c r="T62" i="63"/>
  <c r="P62" i="63"/>
  <c r="J62" i="63"/>
  <c r="H62" i="63"/>
  <c r="D62" i="63"/>
  <c r="L62" i="63" s="1"/>
  <c r="N62" i="63" s="1"/>
  <c r="B62" i="63"/>
  <c r="Z61" i="63"/>
  <c r="X61" i="63"/>
  <c r="N61" i="63"/>
  <c r="L61" i="63"/>
  <c r="B61" i="63"/>
  <c r="T60" i="63"/>
  <c r="P60" i="63"/>
  <c r="L60" i="63"/>
  <c r="H60" i="63"/>
  <c r="N60" i="63" s="1"/>
  <c r="D60" i="63"/>
  <c r="B60" i="63"/>
  <c r="Z59" i="63"/>
  <c r="X59" i="63"/>
  <c r="L59" i="63"/>
  <c r="N59" i="63" s="1"/>
  <c r="J59" i="63"/>
  <c r="B59" i="63"/>
  <c r="T58" i="63"/>
  <c r="P58" i="63"/>
  <c r="X58" i="63" s="1"/>
  <c r="H58" i="63"/>
  <c r="D58" i="63"/>
  <c r="L58" i="63" s="1"/>
  <c r="N58" i="63" s="1"/>
  <c r="B58" i="63"/>
  <c r="X57" i="63"/>
  <c r="Z57" i="63" s="1"/>
  <c r="N57" i="63"/>
  <c r="L57" i="63"/>
  <c r="B57" i="63"/>
  <c r="T56" i="63"/>
  <c r="P56" i="63"/>
  <c r="X56" i="63" s="1"/>
  <c r="Z56" i="63" s="1"/>
  <c r="L56" i="63"/>
  <c r="N56" i="63" s="1"/>
  <c r="J56" i="63"/>
  <c r="H56" i="63"/>
  <c r="D56" i="63"/>
  <c r="B56" i="63"/>
  <c r="X55" i="63"/>
  <c r="Z55" i="63" s="1"/>
  <c r="N55" i="63"/>
  <c r="L55" i="63"/>
  <c r="J55" i="63"/>
  <c r="B55" i="63"/>
  <c r="X54" i="63"/>
  <c r="T54" i="63"/>
  <c r="Z54" i="63" s="1"/>
  <c r="P54" i="63"/>
  <c r="H54" i="63"/>
  <c r="D54" i="63"/>
  <c r="B54" i="63"/>
  <c r="X53" i="63"/>
  <c r="Z53" i="63" s="1"/>
  <c r="L53" i="63"/>
  <c r="N53" i="63" s="1"/>
  <c r="J53" i="63"/>
  <c r="B53" i="63"/>
  <c r="T52" i="63"/>
  <c r="P52" i="63"/>
  <c r="X52" i="63" s="1"/>
  <c r="Z52" i="63" s="1"/>
  <c r="H52" i="63"/>
  <c r="D52" i="63"/>
  <c r="L52" i="63" s="1"/>
  <c r="B52" i="63"/>
  <c r="X51" i="63"/>
  <c r="Z51" i="63" s="1"/>
  <c r="L51" i="63"/>
  <c r="N51" i="63" s="1"/>
  <c r="B51" i="63"/>
  <c r="X50" i="63"/>
  <c r="Z50" i="63" s="1"/>
  <c r="T50" i="63"/>
  <c r="P50" i="63"/>
  <c r="J50" i="63"/>
  <c r="H50" i="63"/>
  <c r="D50" i="63"/>
  <c r="L50" i="63" s="1"/>
  <c r="N50" i="63" s="1"/>
  <c r="B50" i="63"/>
  <c r="Z49" i="63"/>
  <c r="X49" i="63"/>
  <c r="L49" i="63"/>
  <c r="N49" i="63" s="1"/>
  <c r="B49" i="63"/>
  <c r="T48" i="63"/>
  <c r="P48" i="63"/>
  <c r="L48" i="63"/>
  <c r="J48" i="63"/>
  <c r="H48" i="63"/>
  <c r="N48" i="63" s="1"/>
  <c r="D48" i="63"/>
  <c r="B48" i="63"/>
  <c r="Z47" i="63"/>
  <c r="X47" i="63"/>
  <c r="L47" i="63"/>
  <c r="N47" i="63" s="1"/>
  <c r="J47" i="63"/>
  <c r="B47" i="63"/>
  <c r="Z46" i="63"/>
  <c r="X46" i="63"/>
  <c r="N46" i="63"/>
  <c r="L46" i="63"/>
  <c r="J46" i="63"/>
  <c r="B46" i="63"/>
  <c r="X45" i="63"/>
  <c r="T45" i="63"/>
  <c r="Z45" i="63" s="1"/>
  <c r="P45" i="63"/>
  <c r="J45" i="63"/>
  <c r="H45" i="63"/>
  <c r="D45" i="63"/>
  <c r="B45" i="63"/>
  <c r="Z44" i="63"/>
  <c r="X44" i="63"/>
  <c r="L44" i="63"/>
  <c r="N44" i="63" s="1"/>
  <c r="J44" i="63"/>
  <c r="F44" i="63"/>
  <c r="B44" i="63"/>
  <c r="T43" i="63"/>
  <c r="P43" i="63"/>
  <c r="X43" i="63" s="1"/>
  <c r="J43" i="63"/>
  <c r="H43" i="63"/>
  <c r="F43" i="63"/>
  <c r="D43" i="63"/>
  <c r="L43" i="63" s="1"/>
  <c r="B43" i="63"/>
  <c r="X42" i="63"/>
  <c r="Z42" i="63" s="1"/>
  <c r="N42" i="63"/>
  <c r="L42" i="63"/>
  <c r="B42" i="63"/>
  <c r="Z41" i="63"/>
  <c r="X41" i="63"/>
  <c r="L41" i="63"/>
  <c r="N41" i="63" s="1"/>
  <c r="J41" i="63"/>
  <c r="B41" i="63"/>
  <c r="T40" i="63"/>
  <c r="P40" i="63"/>
  <c r="J40" i="63"/>
  <c r="H40" i="63"/>
  <c r="D40" i="63"/>
  <c r="B40" i="63"/>
  <c r="Z39" i="63"/>
  <c r="X39" i="63"/>
  <c r="N39" i="63"/>
  <c r="L39" i="63"/>
  <c r="J39" i="63"/>
  <c r="B39" i="63"/>
  <c r="Z38" i="63"/>
  <c r="X38" i="63"/>
  <c r="N38" i="63"/>
  <c r="L38" i="63"/>
  <c r="J38" i="63"/>
  <c r="B38" i="63"/>
  <c r="X37" i="63"/>
  <c r="Z37" i="63" s="1"/>
  <c r="L37" i="63"/>
  <c r="N37" i="63" s="1"/>
  <c r="J37" i="63"/>
  <c r="B37" i="63"/>
  <c r="Z36" i="63"/>
  <c r="X36" i="63"/>
  <c r="N36" i="63"/>
  <c r="L36" i="63"/>
  <c r="J36" i="63"/>
  <c r="B36" i="63"/>
  <c r="Z35" i="63"/>
  <c r="X35" i="63"/>
  <c r="V35" i="63"/>
  <c r="N35" i="63"/>
  <c r="L35" i="63"/>
  <c r="J35" i="63"/>
  <c r="B35" i="63"/>
  <c r="Z34" i="63"/>
  <c r="X34" i="63"/>
  <c r="N34" i="63"/>
  <c r="L34" i="63"/>
  <c r="J34" i="63"/>
  <c r="B34" i="63"/>
  <c r="X33" i="63"/>
  <c r="Z33" i="63" s="1"/>
  <c r="L33" i="63"/>
  <c r="N33" i="63" s="1"/>
  <c r="J33" i="63"/>
  <c r="B33" i="63"/>
  <c r="Z32" i="63"/>
  <c r="X32" i="63"/>
  <c r="N32" i="63"/>
  <c r="L32" i="63"/>
  <c r="J32" i="63"/>
  <c r="B32" i="63"/>
  <c r="Z31" i="63"/>
  <c r="X31" i="63"/>
  <c r="V31" i="63"/>
  <c r="L31" i="63"/>
  <c r="N31" i="63" s="1"/>
  <c r="J31" i="63"/>
  <c r="B31" i="63"/>
  <c r="Z30" i="63"/>
  <c r="X30" i="63"/>
  <c r="L30" i="63"/>
  <c r="N30" i="63" s="1"/>
  <c r="J30" i="63"/>
  <c r="B30" i="63"/>
  <c r="X29" i="63"/>
  <c r="T29" i="63"/>
  <c r="Z29" i="63" s="1"/>
  <c r="P29" i="63"/>
  <c r="J29" i="63"/>
  <c r="H29" i="63"/>
  <c r="D29" i="63"/>
  <c r="B29" i="63"/>
  <c r="Z28" i="63"/>
  <c r="X28" i="63"/>
  <c r="N28" i="63"/>
  <c r="L28" i="63"/>
  <c r="J28" i="63"/>
  <c r="F28" i="63"/>
  <c r="B28" i="63"/>
  <c r="X27" i="63"/>
  <c r="Z27" i="63" s="1"/>
  <c r="N27" i="63"/>
  <c r="L27" i="63"/>
  <c r="B27" i="63"/>
  <c r="X26" i="63"/>
  <c r="Z26" i="63" s="1"/>
  <c r="L26" i="63"/>
  <c r="N26" i="63" s="1"/>
  <c r="J26" i="63"/>
  <c r="B26" i="63"/>
  <c r="Z25" i="63"/>
  <c r="X25" i="63"/>
  <c r="N25" i="63"/>
  <c r="L25" i="63"/>
  <c r="B25" i="63"/>
  <c r="Z24" i="63"/>
  <c r="X24" i="63"/>
  <c r="L24" i="63"/>
  <c r="N24" i="63" s="1"/>
  <c r="J24" i="63"/>
  <c r="F24" i="63"/>
  <c r="B24" i="63"/>
  <c r="X23" i="63"/>
  <c r="Z23" i="63" s="1"/>
  <c r="L23" i="63"/>
  <c r="N23" i="63" s="1"/>
  <c r="B23" i="63"/>
  <c r="X22" i="63"/>
  <c r="Z22" i="63" s="1"/>
  <c r="L22" i="63"/>
  <c r="N22" i="63" s="1"/>
  <c r="J22" i="63"/>
  <c r="B22" i="63"/>
  <c r="X21" i="63"/>
  <c r="Z21" i="63" s="1"/>
  <c r="N21" i="63"/>
  <c r="L21" i="63"/>
  <c r="B21" i="63"/>
  <c r="Z20" i="63"/>
  <c r="X20" i="63"/>
  <c r="L20" i="63"/>
  <c r="N20" i="63" s="1"/>
  <c r="J20" i="63"/>
  <c r="F20" i="63"/>
  <c r="B20" i="63"/>
  <c r="T19" i="63"/>
  <c r="P19" i="63"/>
  <c r="X19" i="63" s="1"/>
  <c r="J19" i="63"/>
  <c r="H19" i="63"/>
  <c r="F19" i="63"/>
  <c r="D19" i="63"/>
  <c r="L19" i="63" s="1"/>
  <c r="B19" i="63"/>
  <c r="T18" i="63"/>
  <c r="P18" i="63"/>
  <c r="J18" i="63"/>
  <c r="H18" i="63"/>
  <c r="F18" i="63"/>
  <c r="D18" i="63"/>
  <c r="J16" i="63"/>
  <c r="F16" i="63"/>
  <c r="T14" i="63"/>
  <c r="P14" i="63"/>
  <c r="J14" i="63"/>
  <c r="H14" i="63"/>
  <c r="F14" i="63"/>
  <c r="D14" i="63"/>
  <c r="T12" i="63"/>
  <c r="V92" i="63" s="1"/>
  <c r="P12" i="63"/>
  <c r="N12" i="63"/>
  <c r="H12" i="63"/>
  <c r="J86" i="63" s="1"/>
  <c r="D12" i="63"/>
  <c r="F85" i="63" s="1"/>
  <c r="D6" i="63"/>
  <c r="D4" i="63"/>
  <c r="F67" i="61"/>
  <c r="F64" i="61"/>
  <c r="Z62" i="61"/>
  <c r="X62" i="61"/>
  <c r="N62" i="61"/>
  <c r="L62" i="61"/>
  <c r="V60" i="61"/>
  <c r="F60" i="61"/>
  <c r="V58" i="61"/>
  <c r="T58" i="61"/>
  <c r="P58" i="61"/>
  <c r="H58" i="61"/>
  <c r="F58" i="61"/>
  <c r="D58" i="61"/>
  <c r="X56" i="61"/>
  <c r="Z56" i="61" s="1"/>
  <c r="V56" i="61"/>
  <c r="R56" i="61"/>
  <c r="N56" i="61"/>
  <c r="L56" i="61"/>
  <c r="F56" i="61"/>
  <c r="B56" i="61"/>
  <c r="T55" i="61"/>
  <c r="P55" i="61"/>
  <c r="X55" i="61" s="1"/>
  <c r="Z55" i="61" s="1"/>
  <c r="N55" i="61"/>
  <c r="L55" i="61"/>
  <c r="H55" i="61"/>
  <c r="F55" i="61"/>
  <c r="D55" i="61"/>
  <c r="B55" i="61"/>
  <c r="Z54" i="61"/>
  <c r="X54" i="61"/>
  <c r="N54" i="61"/>
  <c r="L54" i="61"/>
  <c r="B54" i="61"/>
  <c r="Z53" i="61"/>
  <c r="X53" i="61"/>
  <c r="V53" i="61"/>
  <c r="R53" i="61"/>
  <c r="N53" i="61"/>
  <c r="L53" i="61"/>
  <c r="F53" i="61"/>
  <c r="B53" i="61"/>
  <c r="T52" i="61"/>
  <c r="P52" i="61"/>
  <c r="X52" i="61" s="1"/>
  <c r="Z52" i="61" s="1"/>
  <c r="N52" i="61"/>
  <c r="H52" i="61"/>
  <c r="F52" i="61"/>
  <c r="D52" i="61"/>
  <c r="L52" i="61" s="1"/>
  <c r="B52" i="61"/>
  <c r="X51" i="61"/>
  <c r="Z51" i="61" s="1"/>
  <c r="V51" i="61"/>
  <c r="L51" i="61"/>
  <c r="N51" i="61" s="1"/>
  <c r="F51" i="61"/>
  <c r="B51" i="61"/>
  <c r="X50" i="61"/>
  <c r="Z50" i="61" s="1"/>
  <c r="V50" i="61"/>
  <c r="T50" i="61"/>
  <c r="P50" i="61"/>
  <c r="L50" i="61"/>
  <c r="N50" i="61" s="1"/>
  <c r="H50" i="61"/>
  <c r="F50" i="61"/>
  <c r="D50" i="61"/>
  <c r="B50" i="61"/>
  <c r="X49" i="61"/>
  <c r="Z49" i="61" s="1"/>
  <c r="N49" i="61"/>
  <c r="L49" i="61"/>
  <c r="F49" i="61"/>
  <c r="B49" i="61"/>
  <c r="X48" i="61"/>
  <c r="V48" i="61"/>
  <c r="T48" i="61"/>
  <c r="R48" i="61"/>
  <c r="P48" i="61"/>
  <c r="H48" i="61"/>
  <c r="N48" i="61" s="1"/>
  <c r="F48" i="61"/>
  <c r="D48" i="61"/>
  <c r="B48" i="61"/>
  <c r="X47" i="61"/>
  <c r="Z47" i="61" s="1"/>
  <c r="V47" i="61"/>
  <c r="R47" i="61"/>
  <c r="L47" i="61"/>
  <c r="N47" i="61" s="1"/>
  <c r="F47" i="61"/>
  <c r="B47" i="61"/>
  <c r="T46" i="61"/>
  <c r="P46" i="61"/>
  <c r="H46" i="61"/>
  <c r="N46" i="61" s="1"/>
  <c r="F46" i="61"/>
  <c r="D46" i="61"/>
  <c r="L46" i="61" s="1"/>
  <c r="B46" i="61"/>
  <c r="X45" i="61"/>
  <c r="Z45" i="61" s="1"/>
  <c r="V45" i="61"/>
  <c r="R45" i="61"/>
  <c r="N45" i="61"/>
  <c r="L45" i="61"/>
  <c r="F45" i="61"/>
  <c r="B45" i="61"/>
  <c r="V44" i="61"/>
  <c r="T44" i="61"/>
  <c r="P44" i="61"/>
  <c r="X44" i="61" s="1"/>
  <c r="Z44" i="61" s="1"/>
  <c r="N44" i="61"/>
  <c r="H44" i="61"/>
  <c r="F44" i="61"/>
  <c r="D44" i="61"/>
  <c r="L44" i="61" s="1"/>
  <c r="B44" i="61"/>
  <c r="X43" i="61"/>
  <c r="Z43" i="61" s="1"/>
  <c r="L43" i="61"/>
  <c r="N43" i="61" s="1"/>
  <c r="F43" i="61"/>
  <c r="B43" i="61"/>
  <c r="X42" i="61"/>
  <c r="V42" i="61"/>
  <c r="T42" i="61"/>
  <c r="R42" i="61"/>
  <c r="P42" i="61"/>
  <c r="H42" i="61"/>
  <c r="F42" i="61"/>
  <c r="D42" i="61"/>
  <c r="B42" i="61"/>
  <c r="Z41" i="61"/>
  <c r="X41" i="61"/>
  <c r="V41" i="61"/>
  <c r="R41" i="61"/>
  <c r="L41" i="61"/>
  <c r="N41" i="61" s="1"/>
  <c r="F41" i="61"/>
  <c r="B41" i="61"/>
  <c r="T40" i="61"/>
  <c r="P40" i="61"/>
  <c r="H40" i="61"/>
  <c r="N40" i="61" s="1"/>
  <c r="F40" i="61"/>
  <c r="D40" i="61"/>
  <c r="L40" i="61" s="1"/>
  <c r="B40" i="61"/>
  <c r="Z39" i="61"/>
  <c r="X39" i="61"/>
  <c r="V39" i="61"/>
  <c r="N39" i="61"/>
  <c r="L39" i="61"/>
  <c r="F39" i="61"/>
  <c r="B39" i="61"/>
  <c r="Z38" i="61"/>
  <c r="X38" i="61"/>
  <c r="V38" i="61"/>
  <c r="N38" i="61"/>
  <c r="L38" i="61"/>
  <c r="F38" i="61"/>
  <c r="B38" i="61"/>
  <c r="Z37" i="61"/>
  <c r="X37" i="61"/>
  <c r="V37" i="61"/>
  <c r="R37" i="61"/>
  <c r="N37" i="61"/>
  <c r="L37" i="61"/>
  <c r="F37" i="61"/>
  <c r="B37" i="61"/>
  <c r="X36" i="61"/>
  <c r="Z36" i="61" s="1"/>
  <c r="V36" i="61"/>
  <c r="L36" i="61"/>
  <c r="N36" i="61" s="1"/>
  <c r="F36" i="61"/>
  <c r="B36" i="61"/>
  <c r="Z35" i="61"/>
  <c r="X35" i="61"/>
  <c r="V35" i="61"/>
  <c r="N35" i="61"/>
  <c r="L35" i="61"/>
  <c r="F35" i="61"/>
  <c r="B35" i="61"/>
  <c r="Z34" i="61"/>
  <c r="X34" i="61"/>
  <c r="V34" i="61"/>
  <c r="N34" i="61"/>
  <c r="L34" i="61"/>
  <c r="F34" i="61"/>
  <c r="B34" i="61"/>
  <c r="X33" i="61"/>
  <c r="Z33" i="61" s="1"/>
  <c r="V33" i="61"/>
  <c r="R33" i="61"/>
  <c r="N33" i="61"/>
  <c r="L33" i="61"/>
  <c r="F33" i="61"/>
  <c r="B33" i="61"/>
  <c r="Z32" i="61"/>
  <c r="X32" i="61"/>
  <c r="V32" i="61"/>
  <c r="N32" i="61"/>
  <c r="L32" i="61"/>
  <c r="F32" i="61"/>
  <c r="B32" i="61"/>
  <c r="Z31" i="61"/>
  <c r="X31" i="61"/>
  <c r="V31" i="61"/>
  <c r="N31" i="61"/>
  <c r="L31" i="61"/>
  <c r="F31" i="61"/>
  <c r="B31" i="61"/>
  <c r="Z30" i="61"/>
  <c r="X30" i="61"/>
  <c r="V30" i="61"/>
  <c r="N30" i="61"/>
  <c r="L30" i="61"/>
  <c r="F30" i="61"/>
  <c r="B30" i="61"/>
  <c r="V29" i="61"/>
  <c r="T29" i="61"/>
  <c r="P29" i="61"/>
  <c r="H29" i="61"/>
  <c r="F29" i="61"/>
  <c r="D29" i="61"/>
  <c r="L29" i="61" s="1"/>
  <c r="B29" i="61"/>
  <c r="X28" i="61"/>
  <c r="Z28" i="61" s="1"/>
  <c r="V28" i="61"/>
  <c r="R28" i="61"/>
  <c r="N28" i="61"/>
  <c r="L28" i="61"/>
  <c r="F28" i="61"/>
  <c r="B28" i="61"/>
  <c r="Z27" i="61"/>
  <c r="X27" i="61"/>
  <c r="N27" i="61"/>
  <c r="L27" i="61"/>
  <c r="F27" i="61"/>
  <c r="B27" i="61"/>
  <c r="X26" i="61"/>
  <c r="Z26" i="61" s="1"/>
  <c r="V26" i="61"/>
  <c r="R26" i="61"/>
  <c r="N26" i="61"/>
  <c r="L26" i="61"/>
  <c r="F26" i="61"/>
  <c r="B26" i="61"/>
  <c r="Z25" i="61"/>
  <c r="X25" i="61"/>
  <c r="N25" i="61"/>
  <c r="L25" i="61"/>
  <c r="F25" i="61"/>
  <c r="B25" i="61"/>
  <c r="Z24" i="61"/>
  <c r="X24" i="61"/>
  <c r="V24" i="61"/>
  <c r="R24" i="61"/>
  <c r="N24" i="61"/>
  <c r="L24" i="61"/>
  <c r="F24" i="61"/>
  <c r="B24" i="61"/>
  <c r="X23" i="61"/>
  <c r="Z23" i="61" s="1"/>
  <c r="L23" i="61"/>
  <c r="N23" i="61" s="1"/>
  <c r="J23" i="61"/>
  <c r="F23" i="61"/>
  <c r="B23" i="61"/>
  <c r="X22" i="61"/>
  <c r="Z22" i="61" s="1"/>
  <c r="V22" i="61"/>
  <c r="R22" i="61"/>
  <c r="N22" i="61"/>
  <c r="L22" i="61"/>
  <c r="F22" i="61"/>
  <c r="B22" i="61"/>
  <c r="X21" i="61"/>
  <c r="Z21" i="61" s="1"/>
  <c r="N21" i="61"/>
  <c r="L21" i="61"/>
  <c r="F21" i="61"/>
  <c r="B21" i="61"/>
  <c r="X20" i="61"/>
  <c r="Z20" i="61" s="1"/>
  <c r="V20" i="61"/>
  <c r="N20" i="61"/>
  <c r="L20" i="61"/>
  <c r="F20" i="61"/>
  <c r="B20" i="61"/>
  <c r="T19" i="61"/>
  <c r="R19" i="61"/>
  <c r="P19" i="61"/>
  <c r="X19" i="61" s="1"/>
  <c r="Z19" i="61" s="1"/>
  <c r="N19" i="61"/>
  <c r="L19" i="61"/>
  <c r="H19" i="61"/>
  <c r="F19" i="61"/>
  <c r="D19" i="61"/>
  <c r="B19" i="61"/>
  <c r="T18" i="61"/>
  <c r="P18" i="61"/>
  <c r="H18" i="61"/>
  <c r="N18" i="61" s="1"/>
  <c r="F18" i="61"/>
  <c r="D18" i="61"/>
  <c r="L18" i="61" s="1"/>
  <c r="R16" i="61"/>
  <c r="H16" i="61"/>
  <c r="N16" i="61" s="1"/>
  <c r="F16" i="61"/>
  <c r="T14" i="61"/>
  <c r="T16" i="61" s="1"/>
  <c r="R14" i="61"/>
  <c r="P14" i="61"/>
  <c r="X14" i="61" s="1"/>
  <c r="H14" i="61"/>
  <c r="N14" i="61" s="1"/>
  <c r="F14" i="61"/>
  <c r="D14" i="61"/>
  <c r="L14" i="61" s="1"/>
  <c r="Z12" i="61"/>
  <c r="T12" i="61"/>
  <c r="V54" i="61" s="1"/>
  <c r="P12" i="61"/>
  <c r="R20" i="61" s="1"/>
  <c r="H12" i="61"/>
  <c r="J50" i="61" s="1"/>
  <c r="D12" i="61"/>
  <c r="F54" i="61" s="1"/>
  <c r="D6" i="61"/>
  <c r="D4" i="61"/>
  <c r="R61" i="60"/>
  <c r="R58" i="60"/>
  <c r="Z56" i="60"/>
  <c r="X56" i="60"/>
  <c r="V56" i="60"/>
  <c r="N56" i="60"/>
  <c r="L56" i="60"/>
  <c r="F56" i="60"/>
  <c r="R54" i="60"/>
  <c r="F54" i="60"/>
  <c r="T52" i="60"/>
  <c r="Z52" i="60" s="1"/>
  <c r="R52" i="60"/>
  <c r="P52" i="60"/>
  <c r="N52" i="60"/>
  <c r="H52" i="60"/>
  <c r="F52" i="60"/>
  <c r="D52" i="60"/>
  <c r="L52" i="60" s="1"/>
  <c r="Z50" i="60"/>
  <c r="X50" i="60"/>
  <c r="R50" i="60"/>
  <c r="L50" i="60"/>
  <c r="N50" i="60" s="1"/>
  <c r="B50" i="60"/>
  <c r="V49" i="60"/>
  <c r="T49" i="60"/>
  <c r="P49" i="60"/>
  <c r="H49" i="60"/>
  <c r="D49" i="60"/>
  <c r="B49" i="60"/>
  <c r="X48" i="60"/>
  <c r="Z48" i="60" s="1"/>
  <c r="V48" i="60"/>
  <c r="N48" i="60"/>
  <c r="L48" i="60"/>
  <c r="B48" i="60"/>
  <c r="V47" i="60"/>
  <c r="T47" i="60"/>
  <c r="R47" i="60"/>
  <c r="P47" i="60"/>
  <c r="X47" i="60" s="1"/>
  <c r="H47" i="60"/>
  <c r="N47" i="60" s="1"/>
  <c r="F47" i="60"/>
  <c r="D47" i="60"/>
  <c r="L47" i="60" s="1"/>
  <c r="B47" i="60"/>
  <c r="X46" i="60"/>
  <c r="Z46" i="60" s="1"/>
  <c r="R46" i="60"/>
  <c r="N46" i="60"/>
  <c r="L46" i="60"/>
  <c r="F46" i="60"/>
  <c r="B46" i="60"/>
  <c r="T45" i="60"/>
  <c r="R45" i="60"/>
  <c r="P45" i="60"/>
  <c r="X45" i="60" s="1"/>
  <c r="Z45" i="60" s="1"/>
  <c r="H45" i="60"/>
  <c r="F45" i="60"/>
  <c r="D45" i="60"/>
  <c r="L45" i="60" s="1"/>
  <c r="N45" i="60" s="1"/>
  <c r="B45" i="60"/>
  <c r="Z44" i="60"/>
  <c r="X44" i="60"/>
  <c r="R44" i="60"/>
  <c r="N44" i="60"/>
  <c r="L44" i="60"/>
  <c r="B44" i="60"/>
  <c r="X43" i="60"/>
  <c r="Z43" i="60" s="1"/>
  <c r="V43" i="60"/>
  <c r="R43" i="60"/>
  <c r="L43" i="60"/>
  <c r="N43" i="60" s="1"/>
  <c r="B43" i="60"/>
  <c r="T42" i="60"/>
  <c r="R42" i="60"/>
  <c r="P42" i="60"/>
  <c r="X42" i="60" s="1"/>
  <c r="Z42" i="60" s="1"/>
  <c r="H42" i="60"/>
  <c r="N42" i="60" s="1"/>
  <c r="F42" i="60"/>
  <c r="D42" i="60"/>
  <c r="L42" i="60" s="1"/>
  <c r="B42" i="60"/>
  <c r="X41" i="60"/>
  <c r="Z41" i="60" s="1"/>
  <c r="R41" i="60"/>
  <c r="N41" i="60"/>
  <c r="L41" i="60"/>
  <c r="B41" i="60"/>
  <c r="T40" i="60"/>
  <c r="R40" i="60"/>
  <c r="P40" i="60"/>
  <c r="X40" i="60" s="1"/>
  <c r="Z40" i="60" s="1"/>
  <c r="H40" i="60"/>
  <c r="D40" i="60"/>
  <c r="L40" i="60" s="1"/>
  <c r="N40" i="60" s="1"/>
  <c r="B40" i="60"/>
  <c r="Z39" i="60"/>
  <c r="X39" i="60"/>
  <c r="R39" i="60"/>
  <c r="N39" i="60"/>
  <c r="L39" i="60"/>
  <c r="F39" i="60"/>
  <c r="B39" i="60"/>
  <c r="Z38" i="60"/>
  <c r="X38" i="60"/>
  <c r="V38" i="60"/>
  <c r="R38" i="60"/>
  <c r="N38" i="60"/>
  <c r="L38" i="60"/>
  <c r="F38" i="60"/>
  <c r="B38" i="60"/>
  <c r="Z37" i="60"/>
  <c r="X37" i="60"/>
  <c r="R37" i="60"/>
  <c r="N37" i="60"/>
  <c r="L37" i="60"/>
  <c r="F37" i="60"/>
  <c r="B37" i="60"/>
  <c r="Z36" i="60"/>
  <c r="X36" i="60"/>
  <c r="R36" i="60"/>
  <c r="N36" i="60"/>
  <c r="L36" i="60"/>
  <c r="F36" i="60"/>
  <c r="B36" i="60"/>
  <c r="Z35" i="60"/>
  <c r="X35" i="60"/>
  <c r="R35" i="60"/>
  <c r="N35" i="60"/>
  <c r="L35" i="60"/>
  <c r="F35" i="60"/>
  <c r="B35" i="60"/>
  <c r="Z34" i="60"/>
  <c r="X34" i="60"/>
  <c r="V34" i="60"/>
  <c r="R34" i="60"/>
  <c r="N34" i="60"/>
  <c r="L34" i="60"/>
  <c r="F34" i="60"/>
  <c r="B34" i="60"/>
  <c r="Z33" i="60"/>
  <c r="X33" i="60"/>
  <c r="R33" i="60"/>
  <c r="L33" i="60"/>
  <c r="N33" i="60" s="1"/>
  <c r="F33" i="60"/>
  <c r="B33" i="60"/>
  <c r="Z32" i="60"/>
  <c r="X32" i="60"/>
  <c r="V32" i="60"/>
  <c r="R32" i="60"/>
  <c r="N32" i="60"/>
  <c r="L32" i="60"/>
  <c r="F32" i="60"/>
  <c r="B32" i="60"/>
  <c r="Z31" i="60"/>
  <c r="X31" i="60"/>
  <c r="R31" i="60"/>
  <c r="N31" i="60"/>
  <c r="L31" i="60"/>
  <c r="F31" i="60"/>
  <c r="B31" i="60"/>
  <c r="Z30" i="60"/>
  <c r="X30" i="60"/>
  <c r="R30" i="60"/>
  <c r="N30" i="60"/>
  <c r="L30" i="60"/>
  <c r="F30" i="60"/>
  <c r="B30" i="60"/>
  <c r="T29" i="60"/>
  <c r="R29" i="60"/>
  <c r="P29" i="60"/>
  <c r="X29" i="60" s="1"/>
  <c r="Z29" i="60" s="1"/>
  <c r="H29" i="60"/>
  <c r="F29" i="60"/>
  <c r="D29" i="60"/>
  <c r="L29" i="60" s="1"/>
  <c r="N29" i="60" s="1"/>
  <c r="B29" i="60"/>
  <c r="Z28" i="60"/>
  <c r="X28" i="60"/>
  <c r="R28" i="60"/>
  <c r="N28" i="60"/>
  <c r="L28" i="60"/>
  <c r="B28" i="60"/>
  <c r="X27" i="60"/>
  <c r="Z27" i="60" s="1"/>
  <c r="V27" i="60"/>
  <c r="R27" i="60"/>
  <c r="L27" i="60"/>
  <c r="N27" i="60" s="1"/>
  <c r="F27" i="60"/>
  <c r="B27" i="60"/>
  <c r="Z26" i="60"/>
  <c r="X26" i="60"/>
  <c r="R26" i="60"/>
  <c r="L26" i="60"/>
  <c r="N26" i="60" s="1"/>
  <c r="B26" i="60"/>
  <c r="Z25" i="60"/>
  <c r="X25" i="60"/>
  <c r="R25" i="60"/>
  <c r="N25" i="60"/>
  <c r="L25" i="60"/>
  <c r="F25" i="60"/>
  <c r="B25" i="60"/>
  <c r="Z24" i="60"/>
  <c r="X24" i="60"/>
  <c r="R24" i="60"/>
  <c r="N24" i="60"/>
  <c r="L24" i="60"/>
  <c r="B24" i="60"/>
  <c r="Z23" i="60"/>
  <c r="X23" i="60"/>
  <c r="V23" i="60"/>
  <c r="R23" i="60"/>
  <c r="L23" i="60"/>
  <c r="N23" i="60" s="1"/>
  <c r="F23" i="60"/>
  <c r="B23" i="60"/>
  <c r="Z22" i="60"/>
  <c r="X22" i="60"/>
  <c r="R22" i="60"/>
  <c r="L22" i="60"/>
  <c r="N22" i="60" s="1"/>
  <c r="B22" i="60"/>
  <c r="Z21" i="60"/>
  <c r="X21" i="60"/>
  <c r="R21" i="60"/>
  <c r="L21" i="60"/>
  <c r="N21" i="60" s="1"/>
  <c r="F21" i="60"/>
  <c r="B21" i="60"/>
  <c r="Z20" i="60"/>
  <c r="X20" i="60"/>
  <c r="R20" i="60"/>
  <c r="L20" i="60"/>
  <c r="N20" i="60" s="1"/>
  <c r="B20" i="60"/>
  <c r="V19" i="60"/>
  <c r="T19" i="60"/>
  <c r="P19" i="60"/>
  <c r="H19" i="60"/>
  <c r="N19" i="60" s="1"/>
  <c r="D19" i="60"/>
  <c r="L19" i="60" s="1"/>
  <c r="B19" i="60"/>
  <c r="X18" i="60"/>
  <c r="Z18" i="60" s="1"/>
  <c r="V18" i="60"/>
  <c r="T18" i="60"/>
  <c r="R18" i="60"/>
  <c r="P18" i="60"/>
  <c r="L18" i="60"/>
  <c r="N18" i="60" s="1"/>
  <c r="H18" i="60"/>
  <c r="F18" i="60"/>
  <c r="D18" i="60"/>
  <c r="V16" i="60"/>
  <c r="R16" i="60"/>
  <c r="P16" i="60"/>
  <c r="P54" i="60" s="1"/>
  <c r="F16" i="60"/>
  <c r="Z14" i="60"/>
  <c r="T14" i="60"/>
  <c r="R14" i="60"/>
  <c r="P14" i="60"/>
  <c r="X14" i="60" s="1"/>
  <c r="N14" i="60"/>
  <c r="H14" i="60"/>
  <c r="F14" i="60"/>
  <c r="D14" i="60"/>
  <c r="D16" i="60" s="1"/>
  <c r="Z12" i="60"/>
  <c r="T12" i="60"/>
  <c r="V58" i="60" s="1"/>
  <c r="P12" i="60"/>
  <c r="R49" i="60" s="1"/>
  <c r="H12" i="60"/>
  <c r="J56" i="60" s="1"/>
  <c r="D12" i="60"/>
  <c r="D6" i="60"/>
  <c r="D4" i="60"/>
  <c r="R74" i="59"/>
  <c r="R71" i="59"/>
  <c r="Z69" i="59"/>
  <c r="X69" i="59"/>
  <c r="R69" i="59"/>
  <c r="N69" i="59"/>
  <c r="L69" i="59"/>
  <c r="R67" i="59"/>
  <c r="Z65" i="59"/>
  <c r="T65" i="59"/>
  <c r="R65" i="59"/>
  <c r="P65" i="59"/>
  <c r="X65" i="59" s="1"/>
  <c r="N65" i="59"/>
  <c r="H65" i="59"/>
  <c r="D65" i="59"/>
  <c r="L65" i="59" s="1"/>
  <c r="Z63" i="59"/>
  <c r="X63" i="59"/>
  <c r="L63" i="59"/>
  <c r="N63" i="59" s="1"/>
  <c r="B63" i="59"/>
  <c r="T62" i="59"/>
  <c r="R62" i="59"/>
  <c r="P62" i="59"/>
  <c r="X62" i="59" s="1"/>
  <c r="H62" i="59"/>
  <c r="D62" i="59"/>
  <c r="L62" i="59" s="1"/>
  <c r="B62" i="59"/>
  <c r="X61" i="59"/>
  <c r="Z61" i="59" s="1"/>
  <c r="R61" i="59"/>
  <c r="N61" i="59"/>
  <c r="L61" i="59"/>
  <c r="B61" i="59"/>
  <c r="X60" i="59"/>
  <c r="Z60" i="59" s="1"/>
  <c r="R60" i="59"/>
  <c r="L60" i="59"/>
  <c r="N60" i="59" s="1"/>
  <c r="B60" i="59"/>
  <c r="T59" i="59"/>
  <c r="X59" i="59" s="1"/>
  <c r="Z59" i="59" s="1"/>
  <c r="R59" i="59"/>
  <c r="P59" i="59"/>
  <c r="H59" i="59"/>
  <c r="L59" i="59" s="1"/>
  <c r="N59" i="59" s="1"/>
  <c r="D59" i="59"/>
  <c r="B59" i="59"/>
  <c r="X58" i="59"/>
  <c r="Z58" i="59" s="1"/>
  <c r="R58" i="59"/>
  <c r="L58" i="59"/>
  <c r="N58" i="59" s="1"/>
  <c r="B58" i="59"/>
  <c r="T57" i="59"/>
  <c r="R57" i="59"/>
  <c r="P57" i="59"/>
  <c r="H57" i="59"/>
  <c r="N57" i="59" s="1"/>
  <c r="D57" i="59"/>
  <c r="L57" i="59" s="1"/>
  <c r="B57" i="59"/>
  <c r="X56" i="59"/>
  <c r="Z56" i="59" s="1"/>
  <c r="R56" i="59"/>
  <c r="L56" i="59"/>
  <c r="N56" i="59" s="1"/>
  <c r="B56" i="59"/>
  <c r="X55" i="59"/>
  <c r="Z55" i="59" s="1"/>
  <c r="N55" i="59"/>
  <c r="L55" i="59"/>
  <c r="B55" i="59"/>
  <c r="X54" i="59"/>
  <c r="T54" i="59"/>
  <c r="R54" i="59"/>
  <c r="P54" i="59"/>
  <c r="H54" i="59"/>
  <c r="D54" i="59"/>
  <c r="B54" i="59"/>
  <c r="X53" i="59"/>
  <c r="Z53" i="59" s="1"/>
  <c r="N53" i="59"/>
  <c r="L53" i="59"/>
  <c r="B53" i="59"/>
  <c r="X52" i="59"/>
  <c r="Z52" i="59" s="1"/>
  <c r="R52" i="59"/>
  <c r="L52" i="59"/>
  <c r="N52" i="59" s="1"/>
  <c r="B52" i="59"/>
  <c r="X51" i="59"/>
  <c r="Z51" i="59" s="1"/>
  <c r="R51" i="59"/>
  <c r="N51" i="59"/>
  <c r="L51" i="59"/>
  <c r="B51" i="59"/>
  <c r="T50" i="59"/>
  <c r="R50" i="59"/>
  <c r="P50" i="59"/>
  <c r="X50" i="59" s="1"/>
  <c r="Z50" i="59" s="1"/>
  <c r="L50" i="59"/>
  <c r="N50" i="59" s="1"/>
  <c r="H50" i="59"/>
  <c r="D50" i="59"/>
  <c r="B50" i="59"/>
  <c r="Z49" i="59"/>
  <c r="X49" i="59"/>
  <c r="R49" i="59"/>
  <c r="L49" i="59"/>
  <c r="N49" i="59" s="1"/>
  <c r="B49" i="59"/>
  <c r="T48" i="59"/>
  <c r="P48" i="59"/>
  <c r="X48" i="59" s="1"/>
  <c r="H48" i="59"/>
  <c r="D48" i="59"/>
  <c r="L48" i="59" s="1"/>
  <c r="N48" i="59" s="1"/>
  <c r="B48" i="59"/>
  <c r="Z47" i="59"/>
  <c r="X47" i="59"/>
  <c r="N47" i="59"/>
  <c r="L47" i="59"/>
  <c r="F47" i="59"/>
  <c r="B47" i="59"/>
  <c r="T46" i="59"/>
  <c r="R46" i="59"/>
  <c r="P46" i="59"/>
  <c r="X46" i="59" s="1"/>
  <c r="H46" i="59"/>
  <c r="N46" i="59" s="1"/>
  <c r="D46" i="59"/>
  <c r="L46" i="59" s="1"/>
  <c r="B46" i="59"/>
  <c r="X45" i="59"/>
  <c r="Z45" i="59" s="1"/>
  <c r="R45" i="59"/>
  <c r="N45" i="59"/>
  <c r="L45" i="59"/>
  <c r="B45" i="59"/>
  <c r="X44" i="59"/>
  <c r="Z44" i="59" s="1"/>
  <c r="R44" i="59"/>
  <c r="L44" i="59"/>
  <c r="N44" i="59" s="1"/>
  <c r="B44" i="59"/>
  <c r="T43" i="59"/>
  <c r="X43" i="59" s="1"/>
  <c r="Z43" i="59" s="1"/>
  <c r="R43" i="59"/>
  <c r="P43" i="59"/>
  <c r="H43" i="59"/>
  <c r="L43" i="59" s="1"/>
  <c r="N43" i="59" s="1"/>
  <c r="D43" i="59"/>
  <c r="B43" i="59"/>
  <c r="X42" i="59"/>
  <c r="Z42" i="59" s="1"/>
  <c r="R42" i="59"/>
  <c r="N42" i="59"/>
  <c r="L42" i="59"/>
  <c r="B42" i="59"/>
  <c r="T41" i="59"/>
  <c r="P41" i="59"/>
  <c r="H41" i="59"/>
  <c r="N41" i="59" s="1"/>
  <c r="F41" i="59"/>
  <c r="D41" i="59"/>
  <c r="B41" i="59"/>
  <c r="Z40" i="59"/>
  <c r="X40" i="59"/>
  <c r="R40" i="59"/>
  <c r="N40" i="59"/>
  <c r="L40" i="59"/>
  <c r="B40" i="59"/>
  <c r="Z39" i="59"/>
  <c r="X39" i="59"/>
  <c r="N39" i="59"/>
  <c r="L39" i="59"/>
  <c r="B39" i="59"/>
  <c r="Z38" i="59"/>
  <c r="X38" i="59"/>
  <c r="R38" i="59"/>
  <c r="N38" i="59"/>
  <c r="L38" i="59"/>
  <c r="B38" i="59"/>
  <c r="Z37" i="59"/>
  <c r="X37" i="59"/>
  <c r="N37" i="59"/>
  <c r="L37" i="59"/>
  <c r="B37" i="59"/>
  <c r="Z36" i="59"/>
  <c r="X36" i="59"/>
  <c r="R36" i="59"/>
  <c r="N36" i="59"/>
  <c r="L36" i="59"/>
  <c r="B36" i="59"/>
  <c r="Z35" i="59"/>
  <c r="X35" i="59"/>
  <c r="N35" i="59"/>
  <c r="L35" i="59"/>
  <c r="J35" i="59"/>
  <c r="B35" i="59"/>
  <c r="X34" i="59"/>
  <c r="Z34" i="59" s="1"/>
  <c r="R34" i="59"/>
  <c r="N34" i="59"/>
  <c r="L34" i="59"/>
  <c r="B34" i="59"/>
  <c r="Z33" i="59"/>
  <c r="X33" i="59"/>
  <c r="N33" i="59"/>
  <c r="L33" i="59"/>
  <c r="B33" i="59"/>
  <c r="X32" i="59"/>
  <c r="Z32" i="59" s="1"/>
  <c r="R32" i="59"/>
  <c r="N32" i="59"/>
  <c r="L32" i="59"/>
  <c r="B32" i="59"/>
  <c r="Z31" i="59"/>
  <c r="X31" i="59"/>
  <c r="N31" i="59"/>
  <c r="L31" i="59"/>
  <c r="J31" i="59"/>
  <c r="B31" i="59"/>
  <c r="T30" i="59"/>
  <c r="R30" i="59"/>
  <c r="P30" i="59"/>
  <c r="H30" i="59"/>
  <c r="F30" i="59"/>
  <c r="D30" i="59"/>
  <c r="L30" i="59" s="1"/>
  <c r="B30" i="59"/>
  <c r="X29" i="59"/>
  <c r="Z29" i="59" s="1"/>
  <c r="R29" i="59"/>
  <c r="N29" i="59"/>
  <c r="L29" i="59"/>
  <c r="B29" i="59"/>
  <c r="X28" i="59"/>
  <c r="Z28" i="59" s="1"/>
  <c r="L28" i="59"/>
  <c r="N28" i="59" s="1"/>
  <c r="F28" i="59"/>
  <c r="B28" i="59"/>
  <c r="X27" i="59"/>
  <c r="Z27" i="59" s="1"/>
  <c r="R27" i="59"/>
  <c r="N27" i="59"/>
  <c r="L27" i="59"/>
  <c r="B27" i="59"/>
  <c r="Z26" i="59"/>
  <c r="X26" i="59"/>
  <c r="R26" i="59"/>
  <c r="N26" i="59"/>
  <c r="L26" i="59"/>
  <c r="F26" i="59"/>
  <c r="B26" i="59"/>
  <c r="Z25" i="59"/>
  <c r="X25" i="59"/>
  <c r="R25" i="59"/>
  <c r="N25" i="59"/>
  <c r="L25" i="59"/>
  <c r="J25" i="59"/>
  <c r="B25" i="59"/>
  <c r="X24" i="59"/>
  <c r="Z24" i="59" s="1"/>
  <c r="R24" i="59"/>
  <c r="N24" i="59"/>
  <c r="L24" i="59"/>
  <c r="B24" i="59"/>
  <c r="X23" i="59"/>
  <c r="Z23" i="59" s="1"/>
  <c r="R23" i="59"/>
  <c r="N23" i="59"/>
  <c r="L23" i="59"/>
  <c r="F23" i="59"/>
  <c r="B23" i="59"/>
  <c r="X22" i="59"/>
  <c r="Z22" i="59" s="1"/>
  <c r="R22" i="59"/>
  <c r="L22" i="59"/>
  <c r="N22" i="59" s="1"/>
  <c r="B22" i="59"/>
  <c r="Z21" i="59"/>
  <c r="X21" i="59"/>
  <c r="N21" i="59"/>
  <c r="L21" i="59"/>
  <c r="F21" i="59"/>
  <c r="B21" i="59"/>
  <c r="X20" i="59"/>
  <c r="Z20" i="59" s="1"/>
  <c r="R20" i="59"/>
  <c r="N20" i="59"/>
  <c r="L20" i="59"/>
  <c r="J20" i="59"/>
  <c r="B20" i="59"/>
  <c r="T19" i="59"/>
  <c r="P19" i="59"/>
  <c r="J19" i="59"/>
  <c r="H19" i="59"/>
  <c r="D19" i="59"/>
  <c r="B19" i="59"/>
  <c r="X18" i="59"/>
  <c r="Z18" i="59" s="1"/>
  <c r="T18" i="59"/>
  <c r="P18" i="59"/>
  <c r="J18" i="59"/>
  <c r="H18" i="59"/>
  <c r="D18" i="59"/>
  <c r="P16" i="59"/>
  <c r="H16" i="59"/>
  <c r="D16" i="59"/>
  <c r="D67" i="59" s="1"/>
  <c r="Z14" i="59"/>
  <c r="T14" i="59"/>
  <c r="P14" i="59"/>
  <c r="X14" i="59" s="1"/>
  <c r="N14" i="59"/>
  <c r="L14" i="59"/>
  <c r="H14" i="59"/>
  <c r="D14" i="59"/>
  <c r="T12" i="59"/>
  <c r="V32" i="59" s="1"/>
  <c r="P12" i="59"/>
  <c r="H12" i="59"/>
  <c r="J41" i="59" s="1"/>
  <c r="D12" i="59"/>
  <c r="F32" i="59" s="1"/>
  <c r="D6" i="59"/>
  <c r="D4" i="59"/>
  <c r="V80" i="58"/>
  <c r="V77" i="58"/>
  <c r="Z75" i="58"/>
  <c r="X75" i="58"/>
  <c r="V75" i="58"/>
  <c r="N75" i="58"/>
  <c r="L75" i="58"/>
  <c r="V73" i="58"/>
  <c r="V71" i="58"/>
  <c r="T71" i="58"/>
  <c r="Z71" i="58" s="1"/>
  <c r="P71" i="58"/>
  <c r="X71" i="58" s="1"/>
  <c r="H71" i="58"/>
  <c r="N71" i="58" s="1"/>
  <c r="D71" i="58"/>
  <c r="L71" i="58" s="1"/>
  <c r="Z69" i="58"/>
  <c r="X69" i="58"/>
  <c r="V69" i="58"/>
  <c r="L69" i="58"/>
  <c r="N69" i="58" s="1"/>
  <c r="B69" i="58"/>
  <c r="V68" i="58"/>
  <c r="T68" i="58"/>
  <c r="Z68" i="58" s="1"/>
  <c r="P68" i="58"/>
  <c r="X68" i="58" s="1"/>
  <c r="H68" i="58"/>
  <c r="N68" i="58" s="1"/>
  <c r="D68" i="58"/>
  <c r="L68" i="58" s="1"/>
  <c r="B68" i="58"/>
  <c r="X67" i="58"/>
  <c r="Z67" i="58" s="1"/>
  <c r="V67" i="58"/>
  <c r="L67" i="58"/>
  <c r="N67" i="58" s="1"/>
  <c r="B67" i="58"/>
  <c r="X66" i="58"/>
  <c r="Z66" i="58" s="1"/>
  <c r="V66" i="58"/>
  <c r="T66" i="58"/>
  <c r="R66" i="58"/>
  <c r="P66" i="58"/>
  <c r="L66" i="58"/>
  <c r="N66" i="58" s="1"/>
  <c r="H66" i="58"/>
  <c r="D66" i="58"/>
  <c r="B66" i="58"/>
  <c r="X65" i="58"/>
  <c r="Z65" i="58" s="1"/>
  <c r="N65" i="58"/>
  <c r="L65" i="58"/>
  <c r="B65" i="58"/>
  <c r="X64" i="58"/>
  <c r="Z64" i="58" s="1"/>
  <c r="N64" i="58"/>
  <c r="L64" i="58"/>
  <c r="B64" i="58"/>
  <c r="X63" i="58"/>
  <c r="Z63" i="58" s="1"/>
  <c r="V63" i="58"/>
  <c r="N63" i="58"/>
  <c r="L63" i="58"/>
  <c r="B63" i="58"/>
  <c r="X62" i="58"/>
  <c r="Z62" i="58" s="1"/>
  <c r="T62" i="58"/>
  <c r="P62" i="58"/>
  <c r="L62" i="58"/>
  <c r="N62" i="58" s="1"/>
  <c r="H62" i="58"/>
  <c r="D62" i="58"/>
  <c r="B62" i="58"/>
  <c r="Z61" i="58"/>
  <c r="X61" i="58"/>
  <c r="V61" i="58"/>
  <c r="L61" i="58"/>
  <c r="N61" i="58" s="1"/>
  <c r="B61" i="58"/>
  <c r="V60" i="58"/>
  <c r="T60" i="58"/>
  <c r="P60" i="58"/>
  <c r="H60" i="58"/>
  <c r="D60" i="58"/>
  <c r="B60" i="58"/>
  <c r="Z59" i="58"/>
  <c r="X59" i="58"/>
  <c r="V59" i="58"/>
  <c r="L59" i="58"/>
  <c r="N59" i="58" s="1"/>
  <c r="B59" i="58"/>
  <c r="V58" i="58"/>
  <c r="T58" i="58"/>
  <c r="P58" i="58"/>
  <c r="X58" i="58" s="1"/>
  <c r="H58" i="58"/>
  <c r="D58" i="58"/>
  <c r="L58" i="58" s="1"/>
  <c r="B58" i="58"/>
  <c r="X57" i="58"/>
  <c r="Z57" i="58" s="1"/>
  <c r="V57" i="58"/>
  <c r="N57" i="58"/>
  <c r="L57" i="58"/>
  <c r="B57" i="58"/>
  <c r="X56" i="58"/>
  <c r="Z56" i="58" s="1"/>
  <c r="L56" i="58"/>
  <c r="N56" i="58" s="1"/>
  <c r="B56" i="58"/>
  <c r="Z55" i="58"/>
  <c r="X55" i="58"/>
  <c r="V55" i="58"/>
  <c r="N55" i="58"/>
  <c r="L55" i="58"/>
  <c r="B55" i="58"/>
  <c r="X54" i="58"/>
  <c r="Z54" i="58" s="1"/>
  <c r="T54" i="58"/>
  <c r="P54" i="58"/>
  <c r="L54" i="58"/>
  <c r="N54" i="58" s="1"/>
  <c r="H54" i="58"/>
  <c r="D54" i="58"/>
  <c r="B54" i="58"/>
  <c r="Z53" i="58"/>
  <c r="X53" i="58"/>
  <c r="V53" i="58"/>
  <c r="L53" i="58"/>
  <c r="N53" i="58" s="1"/>
  <c r="B53" i="58"/>
  <c r="X52" i="58"/>
  <c r="Z52" i="58" s="1"/>
  <c r="V52" i="58"/>
  <c r="R52" i="58"/>
  <c r="N52" i="58"/>
  <c r="L52" i="58"/>
  <c r="B52" i="58"/>
  <c r="V51" i="58"/>
  <c r="T51" i="58"/>
  <c r="P51" i="58"/>
  <c r="X51" i="58" s="1"/>
  <c r="Z51" i="58" s="1"/>
  <c r="H51" i="58"/>
  <c r="D51" i="58"/>
  <c r="L51" i="58" s="1"/>
  <c r="N51" i="58" s="1"/>
  <c r="B51" i="58"/>
  <c r="X50" i="58"/>
  <c r="Z50" i="58" s="1"/>
  <c r="V50" i="58"/>
  <c r="L50" i="58"/>
  <c r="N50" i="58" s="1"/>
  <c r="B50" i="58"/>
  <c r="X49" i="58"/>
  <c r="Z49" i="58" s="1"/>
  <c r="V49" i="58"/>
  <c r="T49" i="58"/>
  <c r="P49" i="58"/>
  <c r="N49" i="58"/>
  <c r="L49" i="58"/>
  <c r="J49" i="58"/>
  <c r="H49" i="58"/>
  <c r="D49" i="58"/>
  <c r="B49" i="58"/>
  <c r="X48" i="58"/>
  <c r="Z48" i="58" s="1"/>
  <c r="L48" i="58"/>
  <c r="N48" i="58" s="1"/>
  <c r="B48" i="58"/>
  <c r="V47" i="58"/>
  <c r="T47" i="58"/>
  <c r="R47" i="58"/>
  <c r="P47" i="58"/>
  <c r="H47" i="58"/>
  <c r="D47" i="58"/>
  <c r="B47" i="58"/>
  <c r="X46" i="58"/>
  <c r="Z46" i="58" s="1"/>
  <c r="V46" i="58"/>
  <c r="R46" i="58"/>
  <c r="L46" i="58"/>
  <c r="N46" i="58" s="1"/>
  <c r="B46" i="58"/>
  <c r="V45" i="58"/>
  <c r="T45" i="58"/>
  <c r="P45" i="58"/>
  <c r="X45" i="58" s="1"/>
  <c r="Z45" i="58" s="1"/>
  <c r="H45" i="58"/>
  <c r="D45" i="58"/>
  <c r="L45" i="58" s="1"/>
  <c r="N45" i="58" s="1"/>
  <c r="B45" i="58"/>
  <c r="Z44" i="58"/>
  <c r="X44" i="58"/>
  <c r="V44" i="58"/>
  <c r="N44" i="58"/>
  <c r="L44" i="58"/>
  <c r="B44" i="58"/>
  <c r="Z43" i="58"/>
  <c r="X43" i="58"/>
  <c r="V43" i="58"/>
  <c r="T43" i="58"/>
  <c r="P43" i="58"/>
  <c r="N43" i="58"/>
  <c r="L43" i="58"/>
  <c r="J43" i="58"/>
  <c r="H43" i="58"/>
  <c r="D43" i="58"/>
  <c r="B43" i="58"/>
  <c r="X42" i="58"/>
  <c r="Z42" i="58" s="1"/>
  <c r="L42" i="58"/>
  <c r="N42" i="58" s="1"/>
  <c r="B42" i="58"/>
  <c r="V41" i="58"/>
  <c r="T41" i="58"/>
  <c r="R41" i="58"/>
  <c r="P41" i="58"/>
  <c r="H41" i="58"/>
  <c r="D41" i="58"/>
  <c r="B41" i="58"/>
  <c r="Z40" i="58"/>
  <c r="X40" i="58"/>
  <c r="V40" i="58"/>
  <c r="R40" i="58"/>
  <c r="N40" i="58"/>
  <c r="L40" i="58"/>
  <c r="B40" i="58"/>
  <c r="Z39" i="58"/>
  <c r="X39" i="58"/>
  <c r="V39" i="58"/>
  <c r="N39" i="58"/>
  <c r="L39" i="58"/>
  <c r="J39" i="58"/>
  <c r="B39" i="58"/>
  <c r="Z38" i="58"/>
  <c r="X38" i="58"/>
  <c r="V38" i="58"/>
  <c r="R38" i="58"/>
  <c r="N38" i="58"/>
  <c r="L38" i="58"/>
  <c r="B38" i="58"/>
  <c r="Z37" i="58"/>
  <c r="X37" i="58"/>
  <c r="V37" i="58"/>
  <c r="N37" i="58"/>
  <c r="L37" i="58"/>
  <c r="J37" i="58"/>
  <c r="B37" i="58"/>
  <c r="Z36" i="58"/>
  <c r="X36" i="58"/>
  <c r="V36" i="58"/>
  <c r="R36" i="58"/>
  <c r="N36" i="58"/>
  <c r="L36" i="58"/>
  <c r="B36" i="58"/>
  <c r="Z35" i="58"/>
  <c r="X35" i="58"/>
  <c r="V35" i="58"/>
  <c r="N35" i="58"/>
  <c r="L35" i="58"/>
  <c r="J35" i="58"/>
  <c r="B35" i="58"/>
  <c r="X34" i="58"/>
  <c r="Z34" i="58" s="1"/>
  <c r="V34" i="58"/>
  <c r="R34" i="58"/>
  <c r="L34" i="58"/>
  <c r="N34" i="58" s="1"/>
  <c r="B34" i="58"/>
  <c r="Z33" i="58"/>
  <c r="X33" i="58"/>
  <c r="V33" i="58"/>
  <c r="N33" i="58"/>
  <c r="L33" i="58"/>
  <c r="J33" i="58"/>
  <c r="B33" i="58"/>
  <c r="Z32" i="58"/>
  <c r="X32" i="58"/>
  <c r="V32" i="58"/>
  <c r="R32" i="58"/>
  <c r="N32" i="58"/>
  <c r="L32" i="58"/>
  <c r="B32" i="58"/>
  <c r="Z31" i="58"/>
  <c r="X31" i="58"/>
  <c r="V31" i="58"/>
  <c r="N31" i="58"/>
  <c r="L31" i="58"/>
  <c r="J31" i="58"/>
  <c r="B31" i="58"/>
  <c r="V30" i="58"/>
  <c r="T30" i="58"/>
  <c r="P30" i="58"/>
  <c r="H30" i="58"/>
  <c r="D30" i="58"/>
  <c r="B30" i="58"/>
  <c r="X29" i="58"/>
  <c r="Z29" i="58" s="1"/>
  <c r="V29" i="58"/>
  <c r="L29" i="58"/>
  <c r="N29" i="58" s="1"/>
  <c r="B29" i="58"/>
  <c r="X28" i="58"/>
  <c r="Z28" i="58" s="1"/>
  <c r="V28" i="58"/>
  <c r="R28" i="58"/>
  <c r="L28" i="58"/>
  <c r="N28" i="58" s="1"/>
  <c r="B28" i="58"/>
  <c r="Z27" i="58"/>
  <c r="X27" i="58"/>
  <c r="V27" i="58"/>
  <c r="L27" i="58"/>
  <c r="N27" i="58" s="1"/>
  <c r="B27" i="58"/>
  <c r="Z26" i="58"/>
  <c r="X26" i="58"/>
  <c r="V26" i="58"/>
  <c r="R26" i="58"/>
  <c r="N26" i="58"/>
  <c r="L26" i="58"/>
  <c r="B26" i="58"/>
  <c r="Z25" i="58"/>
  <c r="X25" i="58"/>
  <c r="V25" i="58"/>
  <c r="N25" i="58"/>
  <c r="L25" i="58"/>
  <c r="B25" i="58"/>
  <c r="X24" i="58"/>
  <c r="Z24" i="58" s="1"/>
  <c r="V24" i="58"/>
  <c r="R24" i="58"/>
  <c r="L24" i="58"/>
  <c r="N24" i="58" s="1"/>
  <c r="B24" i="58"/>
  <c r="Z23" i="58"/>
  <c r="X23" i="58"/>
  <c r="V23" i="58"/>
  <c r="L23" i="58"/>
  <c r="N23" i="58" s="1"/>
  <c r="B23" i="58"/>
  <c r="X22" i="58"/>
  <c r="Z22" i="58" s="1"/>
  <c r="V22" i="58"/>
  <c r="R22" i="58"/>
  <c r="L22" i="58"/>
  <c r="N22" i="58" s="1"/>
  <c r="B22" i="58"/>
  <c r="X21" i="58"/>
  <c r="Z21" i="58" s="1"/>
  <c r="V21" i="58"/>
  <c r="L21" i="58"/>
  <c r="N21" i="58" s="1"/>
  <c r="B21" i="58"/>
  <c r="X20" i="58"/>
  <c r="Z20" i="58" s="1"/>
  <c r="V20" i="58"/>
  <c r="R20" i="58"/>
  <c r="L20" i="58"/>
  <c r="N20" i="58" s="1"/>
  <c r="B20" i="58"/>
  <c r="Z19" i="58"/>
  <c r="X19" i="58"/>
  <c r="V19" i="58"/>
  <c r="T19" i="58"/>
  <c r="P19" i="58"/>
  <c r="L19" i="58"/>
  <c r="N19" i="58" s="1"/>
  <c r="J19" i="58"/>
  <c r="H19" i="58"/>
  <c r="D19" i="58"/>
  <c r="B19" i="58"/>
  <c r="X18" i="58"/>
  <c r="Z18" i="58" s="1"/>
  <c r="T18" i="58"/>
  <c r="R18" i="58"/>
  <c r="P18" i="58"/>
  <c r="L18" i="58"/>
  <c r="N18" i="58" s="1"/>
  <c r="H18" i="58"/>
  <c r="D18" i="58"/>
  <c r="R16" i="58"/>
  <c r="Z14" i="58"/>
  <c r="X14" i="58"/>
  <c r="T14" i="58"/>
  <c r="T16" i="58" s="1"/>
  <c r="R14" i="58"/>
  <c r="P14" i="58"/>
  <c r="P16" i="58" s="1"/>
  <c r="N14" i="58"/>
  <c r="L14" i="58"/>
  <c r="H14" i="58"/>
  <c r="D14" i="58"/>
  <c r="Z12" i="58"/>
  <c r="X12" i="58"/>
  <c r="T12" i="58"/>
  <c r="V65" i="58" s="1"/>
  <c r="P12" i="58"/>
  <c r="R67" i="58" s="1"/>
  <c r="H12" i="58"/>
  <c r="J61" i="58" s="1"/>
  <c r="D12" i="58"/>
  <c r="F61" i="58" s="1"/>
  <c r="D6" i="58"/>
  <c r="D4" i="58"/>
  <c r="Z75" i="57"/>
  <c r="X75" i="57"/>
  <c r="N75" i="57"/>
  <c r="L75" i="57"/>
  <c r="Z71" i="57"/>
  <c r="X71" i="57"/>
  <c r="P71" i="57"/>
  <c r="N71" i="57"/>
  <c r="L71" i="57"/>
  <c r="D71" i="57"/>
  <c r="B71" i="57"/>
  <c r="Z70" i="57"/>
  <c r="X70" i="57"/>
  <c r="P70" i="57"/>
  <c r="P68" i="57" s="1"/>
  <c r="X68" i="57" s="1"/>
  <c r="N70" i="57"/>
  <c r="L70" i="57"/>
  <c r="F70" i="57"/>
  <c r="D70" i="57"/>
  <c r="B70" i="57"/>
  <c r="Z69" i="57"/>
  <c r="X69" i="57"/>
  <c r="P69" i="57"/>
  <c r="N69" i="57"/>
  <c r="D69" i="57"/>
  <c r="L69" i="57" s="1"/>
  <c r="B69" i="57"/>
  <c r="T68" i="57"/>
  <c r="Z68" i="57" s="1"/>
  <c r="H68" i="57"/>
  <c r="N68" i="57" s="1"/>
  <c r="F68" i="57"/>
  <c r="Z66" i="57"/>
  <c r="X66" i="57"/>
  <c r="N66" i="57"/>
  <c r="L66" i="57"/>
  <c r="B66" i="57"/>
  <c r="Z65" i="57"/>
  <c r="X65" i="57"/>
  <c r="T65" i="57"/>
  <c r="P65" i="57"/>
  <c r="N65" i="57"/>
  <c r="L65" i="57"/>
  <c r="H65" i="57"/>
  <c r="D65" i="57"/>
  <c r="B65" i="57"/>
  <c r="Z64" i="57"/>
  <c r="X64" i="57"/>
  <c r="N64" i="57"/>
  <c r="L64" i="57"/>
  <c r="B64" i="57"/>
  <c r="T63" i="57"/>
  <c r="P63" i="57"/>
  <c r="H63" i="57"/>
  <c r="D63" i="57"/>
  <c r="B63" i="57"/>
  <c r="Z62" i="57"/>
  <c r="X62" i="57"/>
  <c r="L62" i="57"/>
  <c r="N62" i="57" s="1"/>
  <c r="B62" i="57"/>
  <c r="T61" i="57"/>
  <c r="P61" i="57"/>
  <c r="X61" i="57" s="1"/>
  <c r="H61" i="57"/>
  <c r="D61" i="57"/>
  <c r="L61" i="57" s="1"/>
  <c r="B61" i="57"/>
  <c r="Z60" i="57"/>
  <c r="X60" i="57"/>
  <c r="N60" i="57"/>
  <c r="L60" i="57"/>
  <c r="B60" i="57"/>
  <c r="Z59" i="57"/>
  <c r="X59" i="57"/>
  <c r="N59" i="57"/>
  <c r="L59" i="57"/>
  <c r="F59" i="57"/>
  <c r="B59" i="57"/>
  <c r="X58" i="57"/>
  <c r="Z58" i="57" s="1"/>
  <c r="N58" i="57"/>
  <c r="L58" i="57"/>
  <c r="B58" i="57"/>
  <c r="X57" i="57"/>
  <c r="Z57" i="57" s="1"/>
  <c r="T57" i="57"/>
  <c r="P57" i="57"/>
  <c r="L57" i="57"/>
  <c r="N57" i="57" s="1"/>
  <c r="H57" i="57"/>
  <c r="D57" i="57"/>
  <c r="B57" i="57"/>
  <c r="Z56" i="57"/>
  <c r="X56" i="57"/>
  <c r="N56" i="57"/>
  <c r="L56" i="57"/>
  <c r="B56" i="57"/>
  <c r="T55" i="57"/>
  <c r="P55" i="57"/>
  <c r="H55" i="57"/>
  <c r="D55" i="57"/>
  <c r="B55" i="57"/>
  <c r="Z54" i="57"/>
  <c r="X54" i="57"/>
  <c r="N54" i="57"/>
  <c r="L54" i="57"/>
  <c r="B54" i="57"/>
  <c r="X53" i="57"/>
  <c r="Z53" i="57" s="1"/>
  <c r="L53" i="57"/>
  <c r="N53" i="57" s="1"/>
  <c r="B53" i="57"/>
  <c r="Z52" i="57"/>
  <c r="X52" i="57"/>
  <c r="T52" i="57"/>
  <c r="P52" i="57"/>
  <c r="N52" i="57"/>
  <c r="L52" i="57"/>
  <c r="J52" i="57"/>
  <c r="H52" i="57"/>
  <c r="D52" i="57"/>
  <c r="B52" i="57"/>
  <c r="X51" i="57"/>
  <c r="Z51" i="57" s="1"/>
  <c r="L51" i="57"/>
  <c r="N51" i="57" s="1"/>
  <c r="F51" i="57"/>
  <c r="B51" i="57"/>
  <c r="T50" i="57"/>
  <c r="P50" i="57"/>
  <c r="H50" i="57"/>
  <c r="F50" i="57"/>
  <c r="D50" i="57"/>
  <c r="B50" i="57"/>
  <c r="X49" i="57"/>
  <c r="Z49" i="57" s="1"/>
  <c r="L49" i="57"/>
  <c r="N49" i="57" s="1"/>
  <c r="B49" i="57"/>
  <c r="T48" i="57"/>
  <c r="P48" i="57"/>
  <c r="X48" i="57" s="1"/>
  <c r="Z48" i="57" s="1"/>
  <c r="H48" i="57"/>
  <c r="D48" i="57"/>
  <c r="L48" i="57" s="1"/>
  <c r="N48" i="57" s="1"/>
  <c r="B48" i="57"/>
  <c r="X47" i="57"/>
  <c r="Z47" i="57" s="1"/>
  <c r="L47" i="57"/>
  <c r="N47" i="57" s="1"/>
  <c r="B47" i="57"/>
  <c r="Z46" i="57"/>
  <c r="X46" i="57"/>
  <c r="N46" i="57"/>
  <c r="L46" i="57"/>
  <c r="B46" i="57"/>
  <c r="T45" i="57"/>
  <c r="P45" i="57"/>
  <c r="X45" i="57" s="1"/>
  <c r="H45" i="57"/>
  <c r="D45" i="57"/>
  <c r="L45" i="57" s="1"/>
  <c r="B45" i="57"/>
  <c r="Z44" i="57"/>
  <c r="X44" i="57"/>
  <c r="N44" i="57"/>
  <c r="L44" i="57"/>
  <c r="B44" i="57"/>
  <c r="X43" i="57"/>
  <c r="T43" i="57"/>
  <c r="Z43" i="57" s="1"/>
  <c r="P43" i="57"/>
  <c r="L43" i="57"/>
  <c r="N43" i="57" s="1"/>
  <c r="H43" i="57"/>
  <c r="D43" i="57"/>
  <c r="B43" i="57"/>
  <c r="Z42" i="57"/>
  <c r="X42" i="57"/>
  <c r="N42" i="57"/>
  <c r="L42" i="57"/>
  <c r="J42" i="57"/>
  <c r="B42" i="57"/>
  <c r="T41" i="57"/>
  <c r="P41" i="57"/>
  <c r="H41" i="57"/>
  <c r="D41" i="57"/>
  <c r="B41" i="57"/>
  <c r="Z40" i="57"/>
  <c r="X40" i="57"/>
  <c r="N40" i="57"/>
  <c r="L40" i="57"/>
  <c r="B40" i="57"/>
  <c r="Z39" i="57"/>
  <c r="X39" i="57"/>
  <c r="N39" i="57"/>
  <c r="L39" i="57"/>
  <c r="B39" i="57"/>
  <c r="Z38" i="57"/>
  <c r="X38" i="57"/>
  <c r="L38" i="57"/>
  <c r="N38" i="57" s="1"/>
  <c r="B38" i="57"/>
  <c r="Z37" i="57"/>
  <c r="X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B35" i="57"/>
  <c r="Z34" i="57"/>
  <c r="X34" i="57"/>
  <c r="V34" i="57"/>
  <c r="N34" i="57"/>
  <c r="L34" i="57"/>
  <c r="B34" i="57"/>
  <c r="Z33" i="57"/>
  <c r="X33" i="57"/>
  <c r="N33" i="57"/>
  <c r="L33" i="57"/>
  <c r="B33" i="57"/>
  <c r="Z32" i="57"/>
  <c r="X32" i="57"/>
  <c r="N32" i="57"/>
  <c r="L32" i="57"/>
  <c r="B32" i="57"/>
  <c r="X31" i="57"/>
  <c r="Z31" i="57" s="1"/>
  <c r="L31" i="57"/>
  <c r="N31" i="57" s="1"/>
  <c r="B31" i="57"/>
  <c r="V30" i="57"/>
  <c r="T30" i="57"/>
  <c r="P30" i="57"/>
  <c r="X30" i="57" s="1"/>
  <c r="Z30" i="57" s="1"/>
  <c r="N30" i="57"/>
  <c r="L30" i="57"/>
  <c r="J30" i="57"/>
  <c r="H30" i="57"/>
  <c r="D30" i="57"/>
  <c r="B30" i="57"/>
  <c r="X29" i="57"/>
  <c r="Z29" i="57" s="1"/>
  <c r="L29" i="57"/>
  <c r="N29" i="57" s="1"/>
  <c r="F29" i="57"/>
  <c r="B29" i="57"/>
  <c r="Z28" i="57"/>
  <c r="X28" i="57"/>
  <c r="N28" i="57"/>
  <c r="L28" i="57"/>
  <c r="B28" i="57"/>
  <c r="X27" i="57"/>
  <c r="Z27" i="57" s="1"/>
  <c r="L27" i="57"/>
  <c r="N27" i="57" s="1"/>
  <c r="F27" i="57"/>
  <c r="B27" i="57"/>
  <c r="Z26" i="57"/>
  <c r="X26" i="57"/>
  <c r="N26" i="57"/>
  <c r="L26" i="57"/>
  <c r="B26" i="57"/>
  <c r="X25" i="57"/>
  <c r="Z25" i="57" s="1"/>
  <c r="L25" i="57"/>
  <c r="N25" i="57" s="1"/>
  <c r="F25" i="57"/>
  <c r="B25" i="57"/>
  <c r="Z24" i="57"/>
  <c r="X24" i="57"/>
  <c r="N24" i="57"/>
  <c r="L24" i="57"/>
  <c r="B24" i="57"/>
  <c r="X23" i="57"/>
  <c r="Z23" i="57" s="1"/>
  <c r="L23" i="57"/>
  <c r="N23" i="57" s="1"/>
  <c r="F23" i="57"/>
  <c r="B23" i="57"/>
  <c r="X22" i="57"/>
  <c r="Z22" i="57" s="1"/>
  <c r="N22" i="57"/>
  <c r="L22" i="57"/>
  <c r="B22" i="57"/>
  <c r="X21" i="57"/>
  <c r="Z21" i="57" s="1"/>
  <c r="L21" i="57"/>
  <c r="N21" i="57" s="1"/>
  <c r="F21" i="57"/>
  <c r="B21" i="57"/>
  <c r="T20" i="57"/>
  <c r="P20" i="57"/>
  <c r="H20" i="57"/>
  <c r="F20" i="57"/>
  <c r="D20" i="57"/>
  <c r="B20" i="57"/>
  <c r="T19" i="57"/>
  <c r="P19" i="57"/>
  <c r="H19" i="57"/>
  <c r="D19" i="57"/>
  <c r="T15" i="57"/>
  <c r="P15" i="57"/>
  <c r="H15" i="57"/>
  <c r="N15" i="57" s="1"/>
  <c r="D15" i="57"/>
  <c r="D17" i="57" s="1"/>
  <c r="Z13" i="57"/>
  <c r="X13" i="57"/>
  <c r="P13" i="57"/>
  <c r="P12" i="57" s="1"/>
  <c r="N13" i="57"/>
  <c r="D13" i="57"/>
  <c r="L13" i="57" s="1"/>
  <c r="B13" i="57"/>
  <c r="T12" i="57"/>
  <c r="V64" i="57" s="1"/>
  <c r="H12" i="57"/>
  <c r="J60" i="57" s="1"/>
  <c r="D12" i="57"/>
  <c r="F53" i="57" s="1"/>
  <c r="D6" i="57"/>
  <c r="D4" i="57"/>
  <c r="R75" i="56"/>
  <c r="R72" i="56"/>
  <c r="Z70" i="56"/>
  <c r="X70" i="56"/>
  <c r="N70" i="56"/>
  <c r="L70" i="56"/>
  <c r="V68" i="56"/>
  <c r="Z66" i="56"/>
  <c r="V66" i="56"/>
  <c r="T66" i="56"/>
  <c r="P66" i="56"/>
  <c r="X66" i="56" s="1"/>
  <c r="N66" i="56"/>
  <c r="L66" i="56"/>
  <c r="H66" i="56"/>
  <c r="D66" i="56"/>
  <c r="Z64" i="56"/>
  <c r="X64" i="56"/>
  <c r="V64" i="56"/>
  <c r="L64" i="56"/>
  <c r="N64" i="56" s="1"/>
  <c r="B64" i="56"/>
  <c r="T63" i="56"/>
  <c r="Z63" i="56" s="1"/>
  <c r="P63" i="56"/>
  <c r="X63" i="56" s="1"/>
  <c r="H63" i="56"/>
  <c r="N63" i="56" s="1"/>
  <c r="D63" i="56"/>
  <c r="L63" i="56" s="1"/>
  <c r="B63" i="56"/>
  <c r="Z62" i="56"/>
  <c r="X62" i="56"/>
  <c r="N62" i="56"/>
  <c r="L62" i="56"/>
  <c r="B62" i="56"/>
  <c r="Z61" i="56"/>
  <c r="X61" i="56"/>
  <c r="N61" i="56"/>
  <c r="L61" i="56"/>
  <c r="B61" i="56"/>
  <c r="X60" i="56"/>
  <c r="Z60" i="56" s="1"/>
  <c r="N60" i="56"/>
  <c r="L60" i="56"/>
  <c r="B60" i="56"/>
  <c r="X59" i="56"/>
  <c r="Z59" i="56" s="1"/>
  <c r="T59" i="56"/>
  <c r="P59" i="56"/>
  <c r="L59" i="56"/>
  <c r="H59" i="56"/>
  <c r="N59" i="56" s="1"/>
  <c r="D59" i="56"/>
  <c r="B59" i="56"/>
  <c r="Z58" i="56"/>
  <c r="X58" i="56"/>
  <c r="N58" i="56"/>
  <c r="L58" i="56"/>
  <c r="B58" i="56"/>
  <c r="T57" i="56"/>
  <c r="P57" i="56"/>
  <c r="H57" i="56"/>
  <c r="D57" i="56"/>
  <c r="B57" i="56"/>
  <c r="Z56" i="56"/>
  <c r="X56" i="56"/>
  <c r="V56" i="56"/>
  <c r="L56" i="56"/>
  <c r="N56" i="56" s="1"/>
  <c r="B56" i="56"/>
  <c r="T55" i="56"/>
  <c r="Z55" i="56" s="1"/>
  <c r="P55" i="56"/>
  <c r="X55" i="56" s="1"/>
  <c r="H55" i="56"/>
  <c r="D55" i="56"/>
  <c r="L55" i="56" s="1"/>
  <c r="B55" i="56"/>
  <c r="Z54" i="56"/>
  <c r="X54" i="56"/>
  <c r="N54" i="56"/>
  <c r="L54" i="56"/>
  <c r="B54" i="56"/>
  <c r="X53" i="56"/>
  <c r="T53" i="56"/>
  <c r="Z53" i="56" s="1"/>
  <c r="P53" i="56"/>
  <c r="N53" i="56"/>
  <c r="L53" i="56"/>
  <c r="H53" i="56"/>
  <c r="D53" i="56"/>
  <c r="B53" i="56"/>
  <c r="Z52" i="56"/>
  <c r="X52" i="56"/>
  <c r="N52" i="56"/>
  <c r="L52" i="56"/>
  <c r="B52" i="56"/>
  <c r="T51" i="56"/>
  <c r="P51" i="56"/>
  <c r="H51" i="56"/>
  <c r="D51" i="56"/>
  <c r="B51" i="56"/>
  <c r="Z50" i="56"/>
  <c r="X50" i="56"/>
  <c r="V50" i="56"/>
  <c r="N50" i="56"/>
  <c r="L50" i="56"/>
  <c r="B50" i="56"/>
  <c r="T49" i="56"/>
  <c r="P49" i="56"/>
  <c r="X49" i="56" s="1"/>
  <c r="H49" i="56"/>
  <c r="D49" i="56"/>
  <c r="L49" i="56" s="1"/>
  <c r="B49" i="56"/>
  <c r="X48" i="56"/>
  <c r="Z48" i="56" s="1"/>
  <c r="N48" i="56"/>
  <c r="L48" i="56"/>
  <c r="B48" i="56"/>
  <c r="X47" i="56"/>
  <c r="T47" i="56"/>
  <c r="P47" i="56"/>
  <c r="L47" i="56"/>
  <c r="H47" i="56"/>
  <c r="N47" i="56" s="1"/>
  <c r="D47" i="56"/>
  <c r="B47" i="56"/>
  <c r="Z46" i="56"/>
  <c r="X46" i="56"/>
  <c r="N46" i="56"/>
  <c r="L46" i="56"/>
  <c r="B46" i="56"/>
  <c r="T45" i="56"/>
  <c r="P45" i="56"/>
  <c r="H45" i="56"/>
  <c r="N45" i="56" s="1"/>
  <c r="D45" i="56"/>
  <c r="B45" i="56"/>
  <c r="Z44" i="56"/>
  <c r="X44" i="56"/>
  <c r="V44" i="56"/>
  <c r="N44" i="56"/>
  <c r="L44" i="56"/>
  <c r="B44" i="56"/>
  <c r="T43" i="56"/>
  <c r="P43" i="56"/>
  <c r="X43" i="56" s="1"/>
  <c r="H43" i="56"/>
  <c r="N43" i="56" s="1"/>
  <c r="D43" i="56"/>
  <c r="L43" i="56" s="1"/>
  <c r="B43" i="56"/>
  <c r="Z42" i="56"/>
  <c r="X42" i="56"/>
  <c r="N42" i="56"/>
  <c r="L42" i="56"/>
  <c r="B42" i="56"/>
  <c r="X41" i="56"/>
  <c r="T41" i="56"/>
  <c r="Z41" i="56" s="1"/>
  <c r="P41" i="56"/>
  <c r="L41" i="56"/>
  <c r="H41" i="56"/>
  <c r="D41" i="56"/>
  <c r="B41" i="56"/>
  <c r="Z40" i="56"/>
  <c r="X40" i="56"/>
  <c r="N40" i="56"/>
  <c r="L40" i="56"/>
  <c r="B40" i="56"/>
  <c r="Z39" i="56"/>
  <c r="X39" i="56"/>
  <c r="R39" i="56"/>
  <c r="N39" i="56"/>
  <c r="L39" i="56"/>
  <c r="B39" i="56"/>
  <c r="Z38" i="56"/>
  <c r="X38" i="56"/>
  <c r="N38" i="56"/>
  <c r="L38" i="56"/>
  <c r="B38" i="56"/>
  <c r="Z37" i="56"/>
  <c r="X37" i="56"/>
  <c r="R37" i="56"/>
  <c r="N37" i="56"/>
  <c r="L37" i="56"/>
  <c r="B37" i="56"/>
  <c r="Z36" i="56"/>
  <c r="X36" i="56"/>
  <c r="N36" i="56"/>
  <c r="L36" i="56"/>
  <c r="B36" i="56"/>
  <c r="Z35" i="56"/>
  <c r="X35" i="56"/>
  <c r="R35" i="56"/>
  <c r="N35" i="56"/>
  <c r="L35" i="56"/>
  <c r="B35" i="56"/>
  <c r="Z34" i="56"/>
  <c r="X34" i="56"/>
  <c r="N34" i="56"/>
  <c r="L34" i="56"/>
  <c r="B34" i="56"/>
  <c r="Z33" i="56"/>
  <c r="X33" i="56"/>
  <c r="R33" i="56"/>
  <c r="N33" i="56"/>
  <c r="L33" i="56"/>
  <c r="B33" i="56"/>
  <c r="Z32" i="56"/>
  <c r="X32" i="56"/>
  <c r="N32" i="56"/>
  <c r="L32" i="56"/>
  <c r="B32" i="56"/>
  <c r="X31" i="56"/>
  <c r="Z31" i="56" s="1"/>
  <c r="R31" i="56"/>
  <c r="L31" i="56"/>
  <c r="N31" i="56" s="1"/>
  <c r="B31" i="56"/>
  <c r="Z30" i="56"/>
  <c r="T30" i="56"/>
  <c r="R30" i="56"/>
  <c r="P30" i="56"/>
  <c r="X30" i="56" s="1"/>
  <c r="H30" i="56"/>
  <c r="D30" i="56"/>
  <c r="L30" i="56" s="1"/>
  <c r="N30" i="56" s="1"/>
  <c r="B30" i="56"/>
  <c r="X29" i="56"/>
  <c r="Z29" i="56" s="1"/>
  <c r="R29" i="56"/>
  <c r="L29" i="56"/>
  <c r="N29" i="56" s="1"/>
  <c r="B29" i="56"/>
  <c r="Z28" i="56"/>
  <c r="X28" i="56"/>
  <c r="V28" i="56"/>
  <c r="N28" i="56"/>
  <c r="L28" i="56"/>
  <c r="B28" i="56"/>
  <c r="X27" i="56"/>
  <c r="Z27" i="56" s="1"/>
  <c r="R27" i="56"/>
  <c r="L27" i="56"/>
  <c r="N27" i="56" s="1"/>
  <c r="B27" i="56"/>
  <c r="Z26" i="56"/>
  <c r="X26" i="56"/>
  <c r="V26" i="56"/>
  <c r="N26" i="56"/>
  <c r="L26" i="56"/>
  <c r="B26" i="56"/>
  <c r="X25" i="56"/>
  <c r="Z25" i="56" s="1"/>
  <c r="R25" i="56"/>
  <c r="L25" i="56"/>
  <c r="N25" i="56" s="1"/>
  <c r="B25" i="56"/>
  <c r="Z24" i="56"/>
  <c r="X24" i="56"/>
  <c r="V24" i="56"/>
  <c r="N24" i="56"/>
  <c r="L24" i="56"/>
  <c r="B24" i="56"/>
  <c r="X23" i="56"/>
  <c r="Z23" i="56" s="1"/>
  <c r="R23" i="56"/>
  <c r="L23" i="56"/>
  <c r="N23" i="56" s="1"/>
  <c r="B23" i="56"/>
  <c r="Z22" i="56"/>
  <c r="X22" i="56"/>
  <c r="V22" i="56"/>
  <c r="N22" i="56"/>
  <c r="L22" i="56"/>
  <c r="B22" i="56"/>
  <c r="X21" i="56"/>
  <c r="Z21" i="56" s="1"/>
  <c r="R21" i="56"/>
  <c r="L21" i="56"/>
  <c r="N21" i="56" s="1"/>
  <c r="B21" i="56"/>
  <c r="Z20" i="56"/>
  <c r="X20" i="56"/>
  <c r="V20" i="56"/>
  <c r="T20" i="56"/>
  <c r="R20" i="56"/>
  <c r="P20" i="56"/>
  <c r="N20" i="56"/>
  <c r="L20" i="56"/>
  <c r="H20" i="56"/>
  <c r="D20" i="56"/>
  <c r="B20" i="56"/>
  <c r="X19" i="56"/>
  <c r="T19" i="56"/>
  <c r="Z19" i="56" s="1"/>
  <c r="P19" i="56"/>
  <c r="L19" i="56"/>
  <c r="H19" i="56"/>
  <c r="N19" i="56" s="1"/>
  <c r="D19" i="56"/>
  <c r="X15" i="56"/>
  <c r="T15" i="56"/>
  <c r="Z15" i="56" s="1"/>
  <c r="P15" i="56"/>
  <c r="P17" i="56" s="1"/>
  <c r="P68" i="56" s="1"/>
  <c r="L15" i="56"/>
  <c r="H15" i="56"/>
  <c r="N15" i="56" s="1"/>
  <c r="D15" i="56"/>
  <c r="Z13" i="56"/>
  <c r="X13" i="56"/>
  <c r="P13" i="56"/>
  <c r="N13" i="56"/>
  <c r="D13" i="56"/>
  <c r="L13" i="56" s="1"/>
  <c r="B13" i="56"/>
  <c r="Z12" i="56"/>
  <c r="T12" i="56"/>
  <c r="V58" i="56" s="1"/>
  <c r="P12" i="56"/>
  <c r="R68" i="56" s="1"/>
  <c r="H12" i="56"/>
  <c r="J36" i="56" s="1"/>
  <c r="D6" i="56"/>
  <c r="D4" i="56"/>
  <c r="V38" i="55"/>
  <c r="J38" i="55"/>
  <c r="V35" i="55"/>
  <c r="J35" i="55"/>
  <c r="Z33" i="55"/>
  <c r="X33" i="55"/>
  <c r="V33" i="55"/>
  <c r="N33" i="55"/>
  <c r="L33" i="55"/>
  <c r="J33" i="55"/>
  <c r="J31" i="55"/>
  <c r="Z29" i="55"/>
  <c r="T29" i="55"/>
  <c r="P29" i="55"/>
  <c r="X29" i="55" s="1"/>
  <c r="N29" i="55"/>
  <c r="J29" i="55"/>
  <c r="H29" i="55"/>
  <c r="D29" i="55"/>
  <c r="L29" i="55" s="1"/>
  <c r="Z27" i="55"/>
  <c r="X27" i="55"/>
  <c r="N27" i="55"/>
  <c r="L27" i="55"/>
  <c r="J27" i="55"/>
  <c r="B27" i="55"/>
  <c r="X26" i="55"/>
  <c r="Z26" i="55" s="1"/>
  <c r="R26" i="55"/>
  <c r="N26" i="55"/>
  <c r="L26" i="55"/>
  <c r="J26" i="55"/>
  <c r="B26" i="55"/>
  <c r="V25" i="55"/>
  <c r="T25" i="55"/>
  <c r="P25" i="55"/>
  <c r="X25" i="55" s="1"/>
  <c r="Z25" i="55" s="1"/>
  <c r="N25" i="55"/>
  <c r="J25" i="55"/>
  <c r="H25" i="55"/>
  <c r="D25" i="55"/>
  <c r="L25" i="55" s="1"/>
  <c r="B25" i="55"/>
  <c r="X24" i="55"/>
  <c r="Z24" i="55" s="1"/>
  <c r="L24" i="55"/>
  <c r="N24" i="55" s="1"/>
  <c r="B24" i="55"/>
  <c r="Z23" i="55"/>
  <c r="X23" i="55"/>
  <c r="V23" i="55"/>
  <c r="T23" i="55"/>
  <c r="P23" i="55"/>
  <c r="N23" i="55"/>
  <c r="L23" i="55"/>
  <c r="J23" i="55"/>
  <c r="H23" i="55"/>
  <c r="D23" i="55"/>
  <c r="B23" i="55"/>
  <c r="X22" i="55"/>
  <c r="Z22" i="55" s="1"/>
  <c r="L22" i="55"/>
  <c r="N22" i="55" s="1"/>
  <c r="J22" i="55"/>
  <c r="F22" i="55"/>
  <c r="B22" i="55"/>
  <c r="Z21" i="55"/>
  <c r="X21" i="55"/>
  <c r="V21" i="55"/>
  <c r="T21" i="55"/>
  <c r="R21" i="55"/>
  <c r="P21" i="55"/>
  <c r="J21" i="55"/>
  <c r="H21" i="55"/>
  <c r="L21" i="55" s="1"/>
  <c r="N21" i="55" s="1"/>
  <c r="F21" i="55"/>
  <c r="D21" i="55"/>
  <c r="B21" i="55"/>
  <c r="X20" i="55"/>
  <c r="Z20" i="55" s="1"/>
  <c r="R20" i="55"/>
  <c r="L20" i="55"/>
  <c r="N20" i="55" s="1"/>
  <c r="J20" i="55"/>
  <c r="F20" i="55"/>
  <c r="B20" i="55"/>
  <c r="Z19" i="55"/>
  <c r="V19" i="55"/>
  <c r="T19" i="55"/>
  <c r="P19" i="55"/>
  <c r="X19" i="55" s="1"/>
  <c r="N19" i="55"/>
  <c r="J19" i="55"/>
  <c r="H19" i="55"/>
  <c r="F19" i="55"/>
  <c r="D19" i="55"/>
  <c r="L19" i="55" s="1"/>
  <c r="B19" i="55"/>
  <c r="T18" i="55"/>
  <c r="P18" i="55"/>
  <c r="X18" i="55" s="1"/>
  <c r="J18" i="55"/>
  <c r="H18" i="55"/>
  <c r="N18" i="55" s="1"/>
  <c r="D18" i="55"/>
  <c r="L18" i="55" s="1"/>
  <c r="J16" i="55"/>
  <c r="T14" i="55"/>
  <c r="T16" i="55" s="1"/>
  <c r="P14" i="55"/>
  <c r="X14" i="55" s="1"/>
  <c r="J14" i="55"/>
  <c r="H14" i="55"/>
  <c r="N14" i="55" s="1"/>
  <c r="D14" i="55"/>
  <c r="L14" i="55" s="1"/>
  <c r="T12" i="55"/>
  <c r="V31" i="55" s="1"/>
  <c r="P12" i="55"/>
  <c r="X12" i="55" s="1"/>
  <c r="N12" i="55"/>
  <c r="L12" i="55"/>
  <c r="H12" i="55"/>
  <c r="J24" i="55" s="1"/>
  <c r="D12" i="55"/>
  <c r="F38" i="55" s="1"/>
  <c r="D6" i="55"/>
  <c r="D4" i="55"/>
  <c r="X29" i="54"/>
  <c r="T29" i="54"/>
  <c r="Z29" i="54" s="1"/>
  <c r="P29" i="54"/>
  <c r="L29" i="54"/>
  <c r="H29" i="54"/>
  <c r="D29" i="54"/>
  <c r="X28" i="54"/>
  <c r="T28" i="54"/>
  <c r="P28" i="54"/>
  <c r="L28" i="54"/>
  <c r="H28" i="54"/>
  <c r="D28" i="54"/>
  <c r="Z24" i="54"/>
  <c r="X24" i="54"/>
  <c r="N24" i="54"/>
  <c r="L24" i="54"/>
  <c r="J24" i="54"/>
  <c r="F24" i="54"/>
  <c r="J22" i="54"/>
  <c r="T20" i="54"/>
  <c r="Z20" i="54" s="1"/>
  <c r="P20" i="54"/>
  <c r="J20" i="54"/>
  <c r="H20" i="54"/>
  <c r="N20" i="54" s="1"/>
  <c r="D20" i="54"/>
  <c r="L20" i="54" s="1"/>
  <c r="T18" i="54"/>
  <c r="Z18" i="54" s="1"/>
  <c r="P18" i="54"/>
  <c r="X18" i="54" s="1"/>
  <c r="J18" i="54"/>
  <c r="H18" i="54"/>
  <c r="N18" i="54" s="1"/>
  <c r="D18" i="54"/>
  <c r="L18" i="54" s="1"/>
  <c r="T16" i="54"/>
  <c r="Z16" i="54" s="1"/>
  <c r="P16" i="54"/>
  <c r="X16" i="54" s="1"/>
  <c r="J16" i="54"/>
  <c r="T14" i="54"/>
  <c r="Z14" i="54" s="1"/>
  <c r="P14" i="54"/>
  <c r="X14" i="54" s="1"/>
  <c r="J14" i="54"/>
  <c r="H14" i="54"/>
  <c r="N14" i="54" s="1"/>
  <c r="D14" i="54"/>
  <c r="D16" i="54" s="1"/>
  <c r="T12" i="54"/>
  <c r="Z12" i="54" s="1"/>
  <c r="P12" i="54"/>
  <c r="N12" i="54"/>
  <c r="L12" i="54"/>
  <c r="H12" i="54"/>
  <c r="J31" i="54" s="1"/>
  <c r="D12" i="54"/>
  <c r="F22" i="54" s="1"/>
  <c r="D6" i="54"/>
  <c r="D4" i="54"/>
  <c r="X98" i="51"/>
  <c r="Z98" i="51" s="1"/>
  <c r="N98" i="51"/>
  <c r="L98" i="51"/>
  <c r="Z94" i="51"/>
  <c r="X94" i="51"/>
  <c r="P94" i="51"/>
  <c r="D94" i="51"/>
  <c r="L94" i="51" s="1"/>
  <c r="N94" i="51" s="1"/>
  <c r="B94" i="51"/>
  <c r="Z93" i="51"/>
  <c r="X93" i="51"/>
  <c r="P93" i="51"/>
  <c r="P92" i="51" s="1"/>
  <c r="X92" i="51" s="1"/>
  <c r="N93" i="51"/>
  <c r="L93" i="51"/>
  <c r="D93" i="51"/>
  <c r="D92" i="51" s="1"/>
  <c r="L92" i="51" s="1"/>
  <c r="B93" i="51"/>
  <c r="T92" i="51"/>
  <c r="H92" i="51"/>
  <c r="X90" i="51"/>
  <c r="Z90" i="51" s="1"/>
  <c r="L90" i="51"/>
  <c r="N90" i="51" s="1"/>
  <c r="B90" i="51"/>
  <c r="Z89" i="51"/>
  <c r="X89" i="51"/>
  <c r="T89" i="51"/>
  <c r="P89" i="51"/>
  <c r="L89" i="51"/>
  <c r="N89" i="51" s="1"/>
  <c r="H89" i="51"/>
  <c r="D89" i="51"/>
  <c r="B89" i="51"/>
  <c r="X88" i="51"/>
  <c r="Z88" i="51" s="1"/>
  <c r="L88" i="51"/>
  <c r="N88" i="51" s="1"/>
  <c r="B88" i="51"/>
  <c r="Z87" i="51"/>
  <c r="X87" i="51"/>
  <c r="N87" i="51"/>
  <c r="L87" i="51"/>
  <c r="B87" i="51"/>
  <c r="Z86" i="51"/>
  <c r="X86" i="51"/>
  <c r="N86" i="51"/>
  <c r="L86" i="51"/>
  <c r="B86" i="51"/>
  <c r="Z85" i="51"/>
  <c r="X85" i="51"/>
  <c r="T85" i="51"/>
  <c r="P85" i="51"/>
  <c r="L85" i="51"/>
  <c r="N85" i="51" s="1"/>
  <c r="H85" i="51"/>
  <c r="D85" i="51"/>
  <c r="B85" i="51"/>
  <c r="Z84" i="51"/>
  <c r="X84" i="51"/>
  <c r="L84" i="51"/>
  <c r="N84" i="51" s="1"/>
  <c r="B84" i="51"/>
  <c r="T83" i="51"/>
  <c r="Z83" i="51" s="1"/>
  <c r="P83" i="51"/>
  <c r="X83" i="51" s="1"/>
  <c r="H83" i="51"/>
  <c r="D83" i="51"/>
  <c r="B83" i="51"/>
  <c r="X82" i="51"/>
  <c r="Z82" i="51" s="1"/>
  <c r="L82" i="51"/>
  <c r="N82" i="51" s="1"/>
  <c r="B82" i="51"/>
  <c r="X81" i="51"/>
  <c r="Z81" i="51" s="1"/>
  <c r="T81" i="51"/>
  <c r="P81" i="51"/>
  <c r="L81" i="51"/>
  <c r="N81" i="51" s="1"/>
  <c r="H81" i="51"/>
  <c r="D81" i="51"/>
  <c r="B81" i="51"/>
  <c r="X80" i="51"/>
  <c r="Z80" i="51" s="1"/>
  <c r="N80" i="51"/>
  <c r="L80" i="51"/>
  <c r="B80" i="51"/>
  <c r="Z79" i="51"/>
  <c r="X79" i="51"/>
  <c r="T79" i="51"/>
  <c r="P79" i="51"/>
  <c r="L79" i="51"/>
  <c r="N79" i="51" s="1"/>
  <c r="H79" i="51"/>
  <c r="D79" i="51"/>
  <c r="B79" i="51"/>
  <c r="Z78" i="51"/>
  <c r="X78" i="51"/>
  <c r="N78" i="51"/>
  <c r="L78" i="51"/>
  <c r="B78" i="51"/>
  <c r="Z77" i="51"/>
  <c r="X77" i="51"/>
  <c r="L77" i="51"/>
  <c r="N77" i="51" s="1"/>
  <c r="B77" i="51"/>
  <c r="X76" i="51"/>
  <c r="Z76" i="51" s="1"/>
  <c r="T76" i="51"/>
  <c r="P76" i="51"/>
  <c r="L76" i="51"/>
  <c r="N76" i="51" s="1"/>
  <c r="H76" i="51"/>
  <c r="D76" i="51"/>
  <c r="B76" i="51"/>
  <c r="Z75" i="51"/>
  <c r="X75" i="51"/>
  <c r="L75" i="51"/>
  <c r="N75" i="51" s="1"/>
  <c r="B75" i="51"/>
  <c r="T74" i="51"/>
  <c r="P74" i="51"/>
  <c r="X74" i="51" s="1"/>
  <c r="L74" i="51"/>
  <c r="H74" i="51"/>
  <c r="D74" i="51"/>
  <c r="B74" i="51"/>
  <c r="Z73" i="51"/>
  <c r="X73" i="51"/>
  <c r="N73" i="51"/>
  <c r="L73" i="51"/>
  <c r="B73" i="51"/>
  <c r="X72" i="51"/>
  <c r="T72" i="51"/>
  <c r="Z72" i="51" s="1"/>
  <c r="P72" i="51"/>
  <c r="H72" i="51"/>
  <c r="D72" i="51"/>
  <c r="L72" i="51" s="1"/>
  <c r="B72" i="51"/>
  <c r="Z71" i="51"/>
  <c r="X71" i="51"/>
  <c r="N71" i="51"/>
  <c r="L71" i="51"/>
  <c r="B71" i="51"/>
  <c r="T70" i="51"/>
  <c r="P70" i="51"/>
  <c r="H70" i="51"/>
  <c r="D70" i="51"/>
  <c r="B70" i="51"/>
  <c r="X69" i="51"/>
  <c r="Z69" i="51" s="1"/>
  <c r="L69" i="51"/>
  <c r="N69" i="51" s="1"/>
  <c r="B69" i="51"/>
  <c r="T68" i="51"/>
  <c r="P68" i="51"/>
  <c r="X68" i="51" s="1"/>
  <c r="L68" i="51"/>
  <c r="H68" i="51"/>
  <c r="D68" i="51"/>
  <c r="B68" i="51"/>
  <c r="Z67" i="51"/>
  <c r="X67" i="51"/>
  <c r="N67" i="51"/>
  <c r="L67" i="51"/>
  <c r="B67" i="51"/>
  <c r="Z66" i="51"/>
  <c r="X66" i="51"/>
  <c r="N66" i="51"/>
  <c r="L66" i="51"/>
  <c r="B66" i="51"/>
  <c r="Z65" i="51"/>
  <c r="X65" i="51"/>
  <c r="N65" i="51"/>
  <c r="L65" i="51"/>
  <c r="B65" i="51"/>
  <c r="Z64" i="51"/>
  <c r="X64" i="51"/>
  <c r="L64" i="51"/>
  <c r="N64" i="51" s="1"/>
  <c r="B64" i="51"/>
  <c r="Z63" i="51"/>
  <c r="X63" i="51"/>
  <c r="N63" i="51"/>
  <c r="L63" i="51"/>
  <c r="B63" i="51"/>
  <c r="Z62" i="51"/>
  <c r="X62" i="51"/>
  <c r="N62" i="51"/>
  <c r="L62" i="51"/>
  <c r="B62" i="51"/>
  <c r="Z61" i="51"/>
  <c r="X61" i="51"/>
  <c r="N61" i="51"/>
  <c r="L61" i="51"/>
  <c r="B61" i="51"/>
  <c r="Z60" i="51"/>
  <c r="X60" i="51"/>
  <c r="N60" i="51"/>
  <c r="L60" i="51"/>
  <c r="B60" i="51"/>
  <c r="X59" i="51"/>
  <c r="Z59" i="51" s="1"/>
  <c r="N59" i="51"/>
  <c r="L59" i="51"/>
  <c r="B59" i="51"/>
  <c r="Z58" i="51"/>
  <c r="X58" i="51"/>
  <c r="N58" i="51"/>
  <c r="L58" i="51"/>
  <c r="B58" i="51"/>
  <c r="X57" i="51"/>
  <c r="Z57" i="51" s="1"/>
  <c r="T57" i="51"/>
  <c r="P57" i="51"/>
  <c r="L57" i="51"/>
  <c r="N57" i="51" s="1"/>
  <c r="H57" i="51"/>
  <c r="D57" i="51"/>
  <c r="B57" i="51"/>
  <c r="Z56" i="51"/>
  <c r="X56" i="51"/>
  <c r="L56" i="51"/>
  <c r="N56" i="51" s="1"/>
  <c r="B56" i="51"/>
  <c r="Z55" i="51"/>
  <c r="X55" i="51"/>
  <c r="N55" i="51"/>
  <c r="L55" i="51"/>
  <c r="B55" i="51"/>
  <c r="Z54" i="51"/>
  <c r="X54" i="51"/>
  <c r="L54" i="51"/>
  <c r="N54" i="51" s="1"/>
  <c r="B54" i="51"/>
  <c r="Z53" i="51"/>
  <c r="X53" i="51"/>
  <c r="N53" i="51"/>
  <c r="L53" i="51"/>
  <c r="B53" i="51"/>
  <c r="Z52" i="51"/>
  <c r="X52" i="51"/>
  <c r="N52" i="51"/>
  <c r="L52" i="51"/>
  <c r="B52" i="51"/>
  <c r="Z51" i="51"/>
  <c r="X51" i="51"/>
  <c r="V51" i="51"/>
  <c r="L51" i="51"/>
  <c r="N51" i="51" s="1"/>
  <c r="B51" i="51"/>
  <c r="Z50" i="51"/>
  <c r="X50" i="51"/>
  <c r="L50" i="51"/>
  <c r="N50" i="51" s="1"/>
  <c r="B50" i="51"/>
  <c r="Z49" i="51"/>
  <c r="X49" i="51"/>
  <c r="N49" i="51"/>
  <c r="L49" i="51"/>
  <c r="B49" i="51"/>
  <c r="Z48" i="51"/>
  <c r="X48" i="51"/>
  <c r="V48" i="51"/>
  <c r="L48" i="51"/>
  <c r="N48" i="51" s="1"/>
  <c r="B48" i="51"/>
  <c r="Z47" i="51"/>
  <c r="X47" i="51"/>
  <c r="N47" i="51"/>
  <c r="L47" i="51"/>
  <c r="B47" i="51"/>
  <c r="T46" i="51"/>
  <c r="P46" i="51"/>
  <c r="X46" i="51" s="1"/>
  <c r="H46" i="51"/>
  <c r="D46" i="51"/>
  <c r="L46" i="51" s="1"/>
  <c r="B46" i="51"/>
  <c r="T45" i="51"/>
  <c r="P45" i="51"/>
  <c r="X45" i="51" s="1"/>
  <c r="Z45" i="51" s="1"/>
  <c r="H45" i="51"/>
  <c r="D45" i="51"/>
  <c r="L45" i="51" s="1"/>
  <c r="N45" i="51" s="1"/>
  <c r="Z41" i="51"/>
  <c r="X41" i="51"/>
  <c r="N41" i="51"/>
  <c r="L41" i="51"/>
  <c r="B41" i="51"/>
  <c r="Z40" i="51"/>
  <c r="X40" i="51"/>
  <c r="V40" i="51"/>
  <c r="N40" i="51"/>
  <c r="L40" i="51"/>
  <c r="B40" i="51"/>
  <c r="Z39" i="51"/>
  <c r="X39" i="51"/>
  <c r="V39" i="51"/>
  <c r="N39" i="51"/>
  <c r="L39" i="51"/>
  <c r="B39" i="51"/>
  <c r="Z38" i="51"/>
  <c r="X38" i="51"/>
  <c r="N38" i="51"/>
  <c r="L38" i="51"/>
  <c r="B38" i="51"/>
  <c r="Z37" i="51"/>
  <c r="X37" i="51"/>
  <c r="V37" i="51"/>
  <c r="N37" i="51"/>
  <c r="L37" i="51"/>
  <c r="B37" i="51"/>
  <c r="Z36" i="51"/>
  <c r="X36" i="51"/>
  <c r="V36" i="51"/>
  <c r="N36" i="51"/>
  <c r="L36" i="51"/>
  <c r="B36" i="51"/>
  <c r="Z35" i="51"/>
  <c r="X35" i="51"/>
  <c r="N35" i="51"/>
  <c r="L35" i="51"/>
  <c r="B35" i="51"/>
  <c r="Z34" i="51"/>
  <c r="X34" i="51"/>
  <c r="V34" i="51"/>
  <c r="N34" i="51"/>
  <c r="L34" i="51"/>
  <c r="B34" i="51"/>
  <c r="Z33" i="51"/>
  <c r="X33" i="51"/>
  <c r="V33" i="51"/>
  <c r="N33" i="51"/>
  <c r="L33" i="51"/>
  <c r="B33" i="51"/>
  <c r="X32" i="51"/>
  <c r="Z32" i="51" s="1"/>
  <c r="V32" i="51"/>
  <c r="L32" i="51"/>
  <c r="N32" i="51" s="1"/>
  <c r="B32" i="51"/>
  <c r="T31" i="51"/>
  <c r="P31" i="51"/>
  <c r="X31" i="51" s="1"/>
  <c r="Z31" i="51" s="1"/>
  <c r="H31" i="51"/>
  <c r="D31" i="51"/>
  <c r="L31" i="51" s="1"/>
  <c r="N31" i="51" s="1"/>
  <c r="Z29" i="51"/>
  <c r="P29" i="51"/>
  <c r="X29" i="51" s="1"/>
  <c r="N29" i="51"/>
  <c r="L29" i="51"/>
  <c r="D29" i="51"/>
  <c r="B29" i="51"/>
  <c r="Z28" i="51"/>
  <c r="X28" i="51"/>
  <c r="P28" i="51"/>
  <c r="N28" i="51"/>
  <c r="D28" i="51"/>
  <c r="L28" i="51" s="1"/>
  <c r="B28" i="51"/>
  <c r="Z27" i="51"/>
  <c r="P27" i="51"/>
  <c r="X27" i="51" s="1"/>
  <c r="N27" i="51"/>
  <c r="D27" i="51"/>
  <c r="L27" i="51" s="1"/>
  <c r="B27" i="51"/>
  <c r="Z26" i="51"/>
  <c r="X26" i="51"/>
  <c r="P26" i="51"/>
  <c r="N26" i="51"/>
  <c r="L26" i="51"/>
  <c r="D26" i="51"/>
  <c r="B26" i="51"/>
  <c r="Z25" i="51"/>
  <c r="X25" i="51"/>
  <c r="P25" i="5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D23" i="51"/>
  <c r="L23" i="51" s="1"/>
  <c r="B23" i="51"/>
  <c r="Z22" i="51"/>
  <c r="X22" i="51"/>
  <c r="P22" i="51"/>
  <c r="N22" i="51"/>
  <c r="L22" i="51"/>
  <c r="D22" i="51"/>
  <c r="B22" i="51"/>
  <c r="Z21" i="51"/>
  <c r="P21" i="51"/>
  <c r="X21" i="51" s="1"/>
  <c r="N21" i="51"/>
  <c r="L21" i="51"/>
  <c r="D21" i="51"/>
  <c r="B21" i="51"/>
  <c r="Z20" i="51"/>
  <c r="P20" i="51"/>
  <c r="X20" i="51" s="1"/>
  <c r="N20" i="51"/>
  <c r="L20" i="51"/>
  <c r="D20" i="51"/>
  <c r="B20" i="51"/>
  <c r="P19" i="51"/>
  <c r="X19" i="51" s="1"/>
  <c r="Z19" i="51" s="1"/>
  <c r="L19" i="51"/>
  <c r="N19" i="51" s="1"/>
  <c r="D19" i="51"/>
  <c r="B19" i="51"/>
  <c r="Z18" i="51"/>
  <c r="X18" i="51"/>
  <c r="P18" i="51"/>
  <c r="N18" i="51"/>
  <c r="D18" i="51"/>
  <c r="L18" i="51" s="1"/>
  <c r="B18" i="51"/>
  <c r="Z17" i="51"/>
  <c r="X17" i="51"/>
  <c r="P17" i="51"/>
  <c r="N17" i="51"/>
  <c r="L17" i="51"/>
  <c r="D17" i="51"/>
  <c r="B17" i="51"/>
  <c r="Z16" i="51"/>
  <c r="X16" i="51"/>
  <c r="P16" i="51"/>
  <c r="N16" i="51"/>
  <c r="D16" i="51"/>
  <c r="L16" i="51" s="1"/>
  <c r="B16" i="51"/>
  <c r="Z15" i="51"/>
  <c r="P15" i="51"/>
  <c r="X15" i="51" s="1"/>
  <c r="N15" i="51"/>
  <c r="D15" i="51"/>
  <c r="L15" i="51" s="1"/>
  <c r="B15" i="51"/>
  <c r="Z14" i="51"/>
  <c r="P14" i="51"/>
  <c r="P12" i="51" s="1"/>
  <c r="N14" i="51"/>
  <c r="D14" i="51"/>
  <c r="L14" i="51" s="1"/>
  <c r="B14" i="51"/>
  <c r="X13" i="51"/>
  <c r="Z13" i="51" s="1"/>
  <c r="P13" i="51"/>
  <c r="L13" i="51"/>
  <c r="N13" i="51" s="1"/>
  <c r="D13" i="51"/>
  <c r="B13" i="51"/>
  <c r="T12" i="51"/>
  <c r="V83" i="51" s="1"/>
  <c r="H12" i="51"/>
  <c r="D4" i="51"/>
  <c r="Z71" i="48"/>
  <c r="X71" i="48"/>
  <c r="V71" i="48"/>
  <c r="L71" i="48"/>
  <c r="N71" i="48" s="1"/>
  <c r="V67" i="48"/>
  <c r="P67" i="48"/>
  <c r="X67" i="48" s="1"/>
  <c r="Z67" i="48" s="1"/>
  <c r="D67" i="48"/>
  <c r="L67" i="48" s="1"/>
  <c r="N67" i="48" s="1"/>
  <c r="B67" i="48"/>
  <c r="T66" i="48"/>
  <c r="Z66" i="48" s="1"/>
  <c r="P66" i="48"/>
  <c r="X66" i="48" s="1"/>
  <c r="H66" i="48"/>
  <c r="N66" i="48" s="1"/>
  <c r="D66" i="48"/>
  <c r="L66" i="48" s="1"/>
  <c r="X64" i="48"/>
  <c r="Z64" i="48" s="1"/>
  <c r="V64" i="48"/>
  <c r="L64" i="48"/>
  <c r="N64" i="48" s="1"/>
  <c r="B64" i="48"/>
  <c r="X63" i="48"/>
  <c r="Z63" i="48" s="1"/>
  <c r="V63" i="48"/>
  <c r="T63" i="48"/>
  <c r="P63" i="48"/>
  <c r="N63" i="48"/>
  <c r="L63" i="48"/>
  <c r="H63" i="48"/>
  <c r="D63" i="48"/>
  <c r="B63" i="48"/>
  <c r="Z62" i="48"/>
  <c r="X62" i="48"/>
  <c r="N62" i="48"/>
  <c r="L62" i="48"/>
  <c r="B62" i="48"/>
  <c r="X61" i="48"/>
  <c r="Z61" i="48" s="1"/>
  <c r="V61" i="48"/>
  <c r="N61" i="48"/>
  <c r="L61" i="48"/>
  <c r="B61" i="48"/>
  <c r="X60" i="48"/>
  <c r="Z60" i="48" s="1"/>
  <c r="T60" i="48"/>
  <c r="P60" i="48"/>
  <c r="H60" i="48"/>
  <c r="D60" i="48"/>
  <c r="L60" i="48" s="1"/>
  <c r="N60" i="48" s="1"/>
  <c r="B60" i="48"/>
  <c r="Z59" i="48"/>
  <c r="X59" i="48"/>
  <c r="V59" i="48"/>
  <c r="L59" i="48"/>
  <c r="N59" i="48" s="1"/>
  <c r="B59" i="48"/>
  <c r="X58" i="48"/>
  <c r="Z58" i="48" s="1"/>
  <c r="V58" i="48"/>
  <c r="L58" i="48"/>
  <c r="N58" i="48" s="1"/>
  <c r="B58" i="48"/>
  <c r="T57" i="48"/>
  <c r="V57" i="48" s="1"/>
  <c r="P57" i="48"/>
  <c r="X57" i="48" s="1"/>
  <c r="Z57" i="48" s="1"/>
  <c r="H57" i="48"/>
  <c r="D57" i="48"/>
  <c r="L57" i="48" s="1"/>
  <c r="N57" i="48" s="1"/>
  <c r="B57" i="48"/>
  <c r="X56" i="48"/>
  <c r="Z56" i="48" s="1"/>
  <c r="V56" i="48"/>
  <c r="L56" i="48"/>
  <c r="N56" i="48" s="1"/>
  <c r="B56" i="48"/>
  <c r="X55" i="48"/>
  <c r="Z55" i="48" s="1"/>
  <c r="V55" i="48"/>
  <c r="T55" i="48"/>
  <c r="P55" i="48"/>
  <c r="N55" i="48"/>
  <c r="L55" i="48"/>
  <c r="H55" i="48"/>
  <c r="D55" i="48"/>
  <c r="B55" i="48"/>
  <c r="X54" i="48"/>
  <c r="Z54" i="48" s="1"/>
  <c r="L54" i="48"/>
  <c r="N54" i="48" s="1"/>
  <c r="B54" i="48"/>
  <c r="T53" i="48"/>
  <c r="P53" i="48"/>
  <c r="H53" i="48"/>
  <c r="D53" i="48"/>
  <c r="B53" i="48"/>
  <c r="Z52" i="48"/>
  <c r="X52" i="48"/>
  <c r="V52" i="48"/>
  <c r="L52" i="48"/>
  <c r="N52" i="48" s="1"/>
  <c r="B52" i="48"/>
  <c r="T51" i="48"/>
  <c r="V51" i="48" s="1"/>
  <c r="P51" i="48"/>
  <c r="X51" i="48" s="1"/>
  <c r="Z51" i="48" s="1"/>
  <c r="H51" i="48"/>
  <c r="D51" i="48"/>
  <c r="L51" i="48" s="1"/>
  <c r="N51" i="48" s="1"/>
  <c r="B51" i="48"/>
  <c r="X50" i="48"/>
  <c r="Z50" i="48" s="1"/>
  <c r="V50" i="48"/>
  <c r="L50" i="48"/>
  <c r="N50" i="48" s="1"/>
  <c r="B50" i="48"/>
  <c r="Z49" i="48"/>
  <c r="X49" i="48"/>
  <c r="V49" i="48"/>
  <c r="N49" i="48"/>
  <c r="L49" i="48"/>
  <c r="B49" i="48"/>
  <c r="T48" i="48"/>
  <c r="P48" i="48"/>
  <c r="X48" i="48" s="1"/>
  <c r="H48" i="48"/>
  <c r="N48" i="48" s="1"/>
  <c r="D48" i="48"/>
  <c r="L48" i="48" s="1"/>
  <c r="B48" i="48"/>
  <c r="X47" i="48"/>
  <c r="Z47" i="48" s="1"/>
  <c r="V47" i="48"/>
  <c r="N47" i="48"/>
  <c r="L47" i="48"/>
  <c r="B47" i="48"/>
  <c r="X46" i="48"/>
  <c r="Z46" i="48" s="1"/>
  <c r="T46" i="48"/>
  <c r="P46" i="48"/>
  <c r="L46" i="48"/>
  <c r="N46" i="48" s="1"/>
  <c r="H46" i="48"/>
  <c r="D46" i="48"/>
  <c r="B46" i="48"/>
  <c r="Z45" i="48"/>
  <c r="X45" i="48"/>
  <c r="V45" i="48"/>
  <c r="N45" i="48"/>
  <c r="L45" i="48"/>
  <c r="J45" i="48"/>
  <c r="B45" i="48"/>
  <c r="T44" i="48"/>
  <c r="P44" i="48"/>
  <c r="H44" i="48"/>
  <c r="D44" i="48"/>
  <c r="B44" i="48"/>
  <c r="X43" i="48"/>
  <c r="Z43" i="48" s="1"/>
  <c r="V43" i="48"/>
  <c r="L43" i="48"/>
  <c r="N43" i="48" s="1"/>
  <c r="B43" i="48"/>
  <c r="V42" i="48"/>
  <c r="T42" i="48"/>
  <c r="Z42" i="48" s="1"/>
  <c r="P42" i="48"/>
  <c r="X42" i="48" s="1"/>
  <c r="H42" i="48"/>
  <c r="D42" i="48"/>
  <c r="L42" i="48" s="1"/>
  <c r="B42" i="48"/>
  <c r="Z41" i="48"/>
  <c r="X41" i="48"/>
  <c r="V41" i="48"/>
  <c r="N41" i="48"/>
  <c r="L41" i="48"/>
  <c r="B41" i="48"/>
  <c r="Z40" i="48"/>
  <c r="X40" i="48"/>
  <c r="N40" i="48"/>
  <c r="L40" i="48"/>
  <c r="B40" i="48"/>
  <c r="Z39" i="48"/>
  <c r="X39" i="48"/>
  <c r="V39" i="48"/>
  <c r="N39" i="48"/>
  <c r="L39" i="48"/>
  <c r="B39" i="48"/>
  <c r="X38" i="48"/>
  <c r="Z38" i="48" s="1"/>
  <c r="L38" i="48"/>
  <c r="N38" i="48" s="1"/>
  <c r="B38" i="48"/>
  <c r="Z37" i="48"/>
  <c r="X37" i="48"/>
  <c r="V37" i="48"/>
  <c r="N37" i="48"/>
  <c r="L37" i="48"/>
  <c r="B37" i="48"/>
  <c r="Z36" i="48"/>
  <c r="X36" i="48"/>
  <c r="N36" i="48"/>
  <c r="L36" i="48"/>
  <c r="B36" i="48"/>
  <c r="X35" i="48"/>
  <c r="Z35" i="48" s="1"/>
  <c r="V35" i="48"/>
  <c r="N35" i="48"/>
  <c r="L35" i="48"/>
  <c r="B35" i="48"/>
  <c r="Z34" i="48"/>
  <c r="X34" i="48"/>
  <c r="N34" i="48"/>
  <c r="L34" i="48"/>
  <c r="B34" i="48"/>
  <c r="X33" i="48"/>
  <c r="Z33" i="48" s="1"/>
  <c r="V33" i="48"/>
  <c r="N33" i="48"/>
  <c r="L33" i="48"/>
  <c r="B33" i="48"/>
  <c r="X32" i="48"/>
  <c r="Z32" i="48" s="1"/>
  <c r="L32" i="48"/>
  <c r="N32" i="48" s="1"/>
  <c r="B32" i="48"/>
  <c r="V31" i="48"/>
  <c r="T31" i="48"/>
  <c r="P31" i="48"/>
  <c r="H31" i="48"/>
  <c r="D31" i="48"/>
  <c r="B31" i="48"/>
  <c r="X30" i="48"/>
  <c r="Z30" i="48" s="1"/>
  <c r="V30" i="48"/>
  <c r="L30" i="48"/>
  <c r="N30" i="48" s="1"/>
  <c r="B30" i="48"/>
  <c r="Z29" i="48"/>
  <c r="X29" i="48"/>
  <c r="V29" i="48"/>
  <c r="N29" i="48"/>
  <c r="L29" i="48"/>
  <c r="J29" i="48"/>
  <c r="B29" i="48"/>
  <c r="X28" i="48"/>
  <c r="Z28" i="48" s="1"/>
  <c r="V28" i="48"/>
  <c r="L28" i="48"/>
  <c r="N28" i="48" s="1"/>
  <c r="B28" i="48"/>
  <c r="Z27" i="48"/>
  <c r="X27" i="48"/>
  <c r="V27" i="48"/>
  <c r="N27" i="48"/>
  <c r="L27" i="48"/>
  <c r="J27" i="48"/>
  <c r="B27" i="48"/>
  <c r="Z26" i="48"/>
  <c r="X26" i="48"/>
  <c r="V26" i="48"/>
  <c r="N26" i="48"/>
  <c r="L26" i="48"/>
  <c r="B26" i="48"/>
  <c r="Z25" i="48"/>
  <c r="X25" i="48"/>
  <c r="V25" i="48"/>
  <c r="N25" i="48"/>
  <c r="L25" i="48"/>
  <c r="J25" i="48"/>
  <c r="B25" i="48"/>
  <c r="X24" i="48"/>
  <c r="Z24" i="48" s="1"/>
  <c r="V24" i="48"/>
  <c r="L24" i="48"/>
  <c r="N24" i="48" s="1"/>
  <c r="B24" i="48"/>
  <c r="Z23" i="48"/>
  <c r="X23" i="48"/>
  <c r="V23" i="48"/>
  <c r="L23" i="48"/>
  <c r="N23" i="48" s="1"/>
  <c r="J23" i="48"/>
  <c r="B23" i="48"/>
  <c r="X22" i="48"/>
  <c r="Z22" i="48" s="1"/>
  <c r="V22" i="48"/>
  <c r="L22" i="48"/>
  <c r="N22" i="48" s="1"/>
  <c r="B22" i="48"/>
  <c r="Z21" i="48"/>
  <c r="X21" i="48"/>
  <c r="V21" i="48"/>
  <c r="N21" i="48"/>
  <c r="L21" i="48"/>
  <c r="J21" i="48"/>
  <c r="B21" i="48"/>
  <c r="T20" i="48"/>
  <c r="P20" i="48"/>
  <c r="H20" i="48"/>
  <c r="D20" i="48"/>
  <c r="B20" i="48"/>
  <c r="V19" i="48"/>
  <c r="T19" i="48"/>
  <c r="P19" i="48"/>
  <c r="X19" i="48" s="1"/>
  <c r="Z19" i="48" s="1"/>
  <c r="N19" i="48"/>
  <c r="L19" i="48"/>
  <c r="J19" i="48"/>
  <c r="H19" i="48"/>
  <c r="D19" i="48"/>
  <c r="Z15" i="48"/>
  <c r="V15" i="48"/>
  <c r="T15" i="48"/>
  <c r="P15" i="48"/>
  <c r="X15" i="48" s="1"/>
  <c r="N15" i="48"/>
  <c r="L15" i="48"/>
  <c r="J15" i="48"/>
  <c r="H15" i="48"/>
  <c r="D15" i="48"/>
  <c r="P13" i="48"/>
  <c r="P12" i="48" s="1"/>
  <c r="D13" i="48"/>
  <c r="L13" i="48" s="1"/>
  <c r="N13" i="48" s="1"/>
  <c r="B13" i="48"/>
  <c r="T12" i="48"/>
  <c r="V62" i="48" s="1"/>
  <c r="H12" i="48"/>
  <c r="J57" i="48" s="1"/>
  <c r="D12" i="48"/>
  <c r="F64" i="48" s="1"/>
  <c r="D4" i="48"/>
  <c r="Z100" i="45"/>
  <c r="X100" i="45"/>
  <c r="L100" i="45"/>
  <c r="N100" i="45" s="1"/>
  <c r="Z96" i="45"/>
  <c r="T96" i="45"/>
  <c r="P96" i="45"/>
  <c r="X96" i="45" s="1"/>
  <c r="N96" i="45"/>
  <c r="H96" i="45"/>
  <c r="D96" i="45"/>
  <c r="L96" i="45" s="1"/>
  <c r="Z94" i="45"/>
  <c r="X94" i="45"/>
  <c r="N94" i="45"/>
  <c r="L94" i="45"/>
  <c r="B94" i="45"/>
  <c r="T93" i="45"/>
  <c r="P93" i="45"/>
  <c r="H93" i="45"/>
  <c r="D93" i="45"/>
  <c r="B93" i="45"/>
  <c r="X92" i="45"/>
  <c r="Z92" i="45" s="1"/>
  <c r="L92" i="45"/>
  <c r="N92" i="45" s="1"/>
  <c r="B92" i="45"/>
  <c r="T91" i="45"/>
  <c r="P91" i="45"/>
  <c r="X91" i="45" s="1"/>
  <c r="H91" i="45"/>
  <c r="D91" i="45"/>
  <c r="L91" i="45" s="1"/>
  <c r="B91" i="45"/>
  <c r="X90" i="45"/>
  <c r="Z90" i="45" s="1"/>
  <c r="N90" i="45"/>
  <c r="L90" i="45"/>
  <c r="B90" i="45"/>
  <c r="X89" i="45"/>
  <c r="Z89" i="45" s="1"/>
  <c r="N89" i="45"/>
  <c r="L89" i="45"/>
  <c r="B89" i="45"/>
  <c r="X88" i="45"/>
  <c r="T88" i="45"/>
  <c r="Z88" i="45" s="1"/>
  <c r="P88" i="45"/>
  <c r="H88" i="45"/>
  <c r="D88" i="45"/>
  <c r="B88" i="45"/>
  <c r="X87" i="45"/>
  <c r="Z87" i="45" s="1"/>
  <c r="L87" i="45"/>
  <c r="N87" i="45" s="1"/>
  <c r="B87" i="45"/>
  <c r="Z86" i="45"/>
  <c r="X86" i="45"/>
  <c r="N86" i="45"/>
  <c r="L86" i="45"/>
  <c r="B86" i="45"/>
  <c r="Z85" i="45"/>
  <c r="X85" i="45"/>
  <c r="L85" i="45"/>
  <c r="N85" i="45" s="1"/>
  <c r="B85" i="45"/>
  <c r="Z84" i="45"/>
  <c r="X84" i="45"/>
  <c r="L84" i="45"/>
  <c r="N84" i="45" s="1"/>
  <c r="B84" i="45"/>
  <c r="X83" i="45"/>
  <c r="Z83" i="45" s="1"/>
  <c r="L83" i="45"/>
  <c r="N83" i="45" s="1"/>
  <c r="B83" i="45"/>
  <c r="Z82" i="45"/>
  <c r="X82" i="45"/>
  <c r="N82" i="45"/>
  <c r="L82" i="45"/>
  <c r="B82" i="45"/>
  <c r="Z81" i="45"/>
  <c r="X81" i="45"/>
  <c r="L81" i="45"/>
  <c r="N81" i="45" s="1"/>
  <c r="B81" i="45"/>
  <c r="Z80" i="45"/>
  <c r="X80" i="45"/>
  <c r="L80" i="45"/>
  <c r="N80" i="45" s="1"/>
  <c r="B80" i="45"/>
  <c r="X79" i="45"/>
  <c r="Z79" i="45" s="1"/>
  <c r="L79" i="45"/>
  <c r="N79" i="45" s="1"/>
  <c r="B79" i="45"/>
  <c r="Z78" i="45"/>
  <c r="X78" i="45"/>
  <c r="N78" i="45"/>
  <c r="L78" i="45"/>
  <c r="B78" i="45"/>
  <c r="T77" i="45"/>
  <c r="P77" i="45"/>
  <c r="H77" i="45"/>
  <c r="D77" i="45"/>
  <c r="B77" i="45"/>
  <c r="X76" i="45"/>
  <c r="Z76" i="45" s="1"/>
  <c r="V76" i="45"/>
  <c r="L76" i="45"/>
  <c r="N76" i="45" s="1"/>
  <c r="B76" i="45"/>
  <c r="X75" i="45"/>
  <c r="Z75" i="45" s="1"/>
  <c r="L75" i="45"/>
  <c r="N75" i="45" s="1"/>
  <c r="B75" i="45"/>
  <c r="Z74" i="45"/>
  <c r="X74" i="45"/>
  <c r="V74" i="45"/>
  <c r="L74" i="45"/>
  <c r="N74" i="45" s="1"/>
  <c r="B74" i="45"/>
  <c r="X73" i="45"/>
  <c r="Z73" i="45" s="1"/>
  <c r="L73" i="45"/>
  <c r="N73" i="45" s="1"/>
  <c r="B73" i="45"/>
  <c r="V72" i="45"/>
  <c r="T72" i="45"/>
  <c r="P72" i="45"/>
  <c r="X72" i="45" s="1"/>
  <c r="Z72" i="45" s="1"/>
  <c r="N72" i="45"/>
  <c r="L72" i="45"/>
  <c r="H72" i="45"/>
  <c r="D72" i="45"/>
  <c r="B72" i="45"/>
  <c r="X71" i="45"/>
  <c r="Z71" i="45" s="1"/>
  <c r="L71" i="45"/>
  <c r="N71" i="45" s="1"/>
  <c r="B71" i="45"/>
  <c r="X70" i="45"/>
  <c r="Z70" i="45" s="1"/>
  <c r="N70" i="45"/>
  <c r="L70" i="45"/>
  <c r="B70" i="45"/>
  <c r="X69" i="45"/>
  <c r="Z69" i="45" s="1"/>
  <c r="N69" i="45"/>
  <c r="L69" i="45"/>
  <c r="B69" i="45"/>
  <c r="X68" i="45"/>
  <c r="V68" i="45"/>
  <c r="T68" i="45"/>
  <c r="P68" i="45"/>
  <c r="H68" i="45"/>
  <c r="D68" i="45"/>
  <c r="B68" i="45"/>
  <c r="X67" i="45"/>
  <c r="Z67" i="45" s="1"/>
  <c r="L67" i="45"/>
  <c r="N67" i="45" s="1"/>
  <c r="B67" i="45"/>
  <c r="Z66" i="45"/>
  <c r="T66" i="45"/>
  <c r="P66" i="45"/>
  <c r="X66" i="45" s="1"/>
  <c r="N66" i="45"/>
  <c r="H66" i="45"/>
  <c r="D66" i="45"/>
  <c r="L66" i="45" s="1"/>
  <c r="B66" i="45"/>
  <c r="X65" i="45"/>
  <c r="Z65" i="45" s="1"/>
  <c r="V65" i="45"/>
  <c r="N65" i="45"/>
  <c r="L65" i="45"/>
  <c r="B65" i="45"/>
  <c r="V64" i="45"/>
  <c r="T64" i="45"/>
  <c r="P64" i="45"/>
  <c r="X64" i="45" s="1"/>
  <c r="Z64" i="45" s="1"/>
  <c r="H64" i="45"/>
  <c r="D64" i="45"/>
  <c r="L64" i="45" s="1"/>
  <c r="N64" i="45" s="1"/>
  <c r="B64" i="45"/>
  <c r="Z63" i="45"/>
  <c r="X63" i="45"/>
  <c r="L63" i="45"/>
  <c r="N63" i="45" s="1"/>
  <c r="B63" i="45"/>
  <c r="T62" i="45"/>
  <c r="X62" i="45" s="1"/>
  <c r="P62" i="45"/>
  <c r="L62" i="45"/>
  <c r="H62" i="45"/>
  <c r="D62" i="45"/>
  <c r="B62" i="45"/>
  <c r="Z61" i="45"/>
  <c r="X61" i="45"/>
  <c r="L61" i="45"/>
  <c r="N61" i="45" s="1"/>
  <c r="B61" i="45"/>
  <c r="T60" i="45"/>
  <c r="Z60" i="45" s="1"/>
  <c r="P60" i="45"/>
  <c r="X60" i="45" s="1"/>
  <c r="H60" i="45"/>
  <c r="D60" i="45"/>
  <c r="B60" i="45"/>
  <c r="X59" i="45"/>
  <c r="Z59" i="45" s="1"/>
  <c r="V59" i="45"/>
  <c r="L59" i="45"/>
  <c r="N59" i="45" s="1"/>
  <c r="B59" i="45"/>
  <c r="V58" i="45"/>
  <c r="T58" i="45"/>
  <c r="P58" i="45"/>
  <c r="X58" i="45" s="1"/>
  <c r="Z58" i="45" s="1"/>
  <c r="H58" i="45"/>
  <c r="D58" i="45"/>
  <c r="L58" i="45" s="1"/>
  <c r="N58" i="45" s="1"/>
  <c r="B58" i="45"/>
  <c r="Z57" i="45"/>
  <c r="X57" i="45"/>
  <c r="N57" i="45"/>
  <c r="L57" i="45"/>
  <c r="B57" i="45"/>
  <c r="T56" i="45"/>
  <c r="X56" i="45" s="1"/>
  <c r="P56" i="45"/>
  <c r="L56" i="45"/>
  <c r="H56" i="45"/>
  <c r="D56" i="45"/>
  <c r="B56" i="45"/>
  <c r="Z55" i="45"/>
  <c r="X55" i="45"/>
  <c r="L55" i="45"/>
  <c r="N55" i="45" s="1"/>
  <c r="B55" i="45"/>
  <c r="Z54" i="45"/>
  <c r="T54" i="45"/>
  <c r="P54" i="45"/>
  <c r="X54" i="45" s="1"/>
  <c r="H54" i="45"/>
  <c r="D54" i="45"/>
  <c r="B54" i="45"/>
  <c r="X53" i="45"/>
  <c r="Z53" i="45" s="1"/>
  <c r="V53" i="45"/>
  <c r="N53" i="45"/>
  <c r="L53" i="45"/>
  <c r="B53" i="45"/>
  <c r="X52" i="45"/>
  <c r="Z52" i="45" s="1"/>
  <c r="V52" i="45"/>
  <c r="T52" i="45"/>
  <c r="P52" i="45"/>
  <c r="H52" i="45"/>
  <c r="D52" i="45"/>
  <c r="L52" i="45" s="1"/>
  <c r="N52" i="45" s="1"/>
  <c r="B52" i="45"/>
  <c r="X51" i="45"/>
  <c r="Z51" i="45" s="1"/>
  <c r="N51" i="45"/>
  <c r="L51" i="45"/>
  <c r="B51" i="45"/>
  <c r="T50" i="45"/>
  <c r="P50" i="45"/>
  <c r="L50" i="45"/>
  <c r="H50" i="45"/>
  <c r="N50" i="45" s="1"/>
  <c r="D50" i="45"/>
  <c r="B50" i="45"/>
  <c r="X49" i="45"/>
  <c r="Z49" i="45" s="1"/>
  <c r="V49" i="45"/>
  <c r="L49" i="45"/>
  <c r="N49" i="45" s="1"/>
  <c r="B49" i="45"/>
  <c r="T48" i="45"/>
  <c r="P48" i="45"/>
  <c r="X48" i="45" s="1"/>
  <c r="Z48" i="45" s="1"/>
  <c r="H48" i="45"/>
  <c r="D48" i="45"/>
  <c r="B48" i="45"/>
  <c r="Z47" i="45"/>
  <c r="X47" i="45"/>
  <c r="V47" i="45"/>
  <c r="N47" i="45"/>
  <c r="L47" i="45"/>
  <c r="B47" i="45"/>
  <c r="Z46" i="45"/>
  <c r="X46" i="45"/>
  <c r="V46" i="45"/>
  <c r="N46" i="45"/>
  <c r="L46" i="45"/>
  <c r="B46" i="45"/>
  <c r="Z45" i="45"/>
  <c r="X45" i="45"/>
  <c r="V45" i="45"/>
  <c r="N45" i="45"/>
  <c r="L45" i="45"/>
  <c r="B45" i="45"/>
  <c r="X44" i="45"/>
  <c r="Z44" i="45" s="1"/>
  <c r="V44" i="45"/>
  <c r="N44" i="45"/>
  <c r="L44" i="45"/>
  <c r="B44" i="45"/>
  <c r="Z43" i="45"/>
  <c r="X43" i="45"/>
  <c r="N43" i="45"/>
  <c r="L43" i="45"/>
  <c r="B43" i="45"/>
  <c r="X42" i="45"/>
  <c r="Z42" i="45" s="1"/>
  <c r="V42" i="45"/>
  <c r="L42" i="45"/>
  <c r="N42" i="45" s="1"/>
  <c r="B42" i="45"/>
  <c r="X41" i="45"/>
  <c r="Z41" i="45" s="1"/>
  <c r="V41" i="45"/>
  <c r="L41" i="45"/>
  <c r="N41" i="45" s="1"/>
  <c r="B41" i="45"/>
  <c r="Z40" i="45"/>
  <c r="X40" i="45"/>
  <c r="V40" i="45"/>
  <c r="N40" i="45"/>
  <c r="L40" i="45"/>
  <c r="B40" i="45"/>
  <c r="X39" i="45"/>
  <c r="Z39" i="45" s="1"/>
  <c r="V39" i="45"/>
  <c r="L39" i="45"/>
  <c r="N39" i="45" s="1"/>
  <c r="B39" i="45"/>
  <c r="Z38" i="45"/>
  <c r="X38" i="45"/>
  <c r="N38" i="45"/>
  <c r="L38" i="45"/>
  <c r="B38" i="45"/>
  <c r="T37" i="45"/>
  <c r="P37" i="45"/>
  <c r="X37" i="45" s="1"/>
  <c r="L37" i="45"/>
  <c r="H37" i="45"/>
  <c r="D37" i="45"/>
  <c r="B37" i="45"/>
  <c r="Z36" i="45"/>
  <c r="X36" i="45"/>
  <c r="V36" i="45"/>
  <c r="N36" i="45"/>
  <c r="L36" i="45"/>
  <c r="B36" i="45"/>
  <c r="X35" i="45"/>
  <c r="Z35" i="45" s="1"/>
  <c r="N35" i="45"/>
  <c r="L35" i="45"/>
  <c r="B35" i="45"/>
  <c r="X34" i="45"/>
  <c r="Z34" i="45" s="1"/>
  <c r="N34" i="45"/>
  <c r="L34" i="45"/>
  <c r="B34" i="45"/>
  <c r="Z33" i="45"/>
  <c r="X33" i="45"/>
  <c r="N33" i="45"/>
  <c r="L33" i="45"/>
  <c r="B33" i="45"/>
  <c r="Z32" i="45"/>
  <c r="X32" i="45"/>
  <c r="V32" i="45"/>
  <c r="N32" i="45"/>
  <c r="L32" i="45"/>
  <c r="B32" i="45"/>
  <c r="X31" i="45"/>
  <c r="Z31" i="45" s="1"/>
  <c r="N31" i="45"/>
  <c r="L31" i="45"/>
  <c r="B31" i="45"/>
  <c r="X30" i="45"/>
  <c r="Z30" i="45" s="1"/>
  <c r="V30" i="45"/>
  <c r="N30" i="45"/>
  <c r="L30" i="45"/>
  <c r="B30" i="45"/>
  <c r="Z29" i="45"/>
  <c r="X29" i="45"/>
  <c r="L29" i="45"/>
  <c r="N29" i="45" s="1"/>
  <c r="B29" i="45"/>
  <c r="X28" i="45"/>
  <c r="Z28" i="45" s="1"/>
  <c r="V28" i="45"/>
  <c r="N28" i="45"/>
  <c r="L28" i="45"/>
  <c r="B28" i="45"/>
  <c r="X27" i="45"/>
  <c r="Z27" i="45" s="1"/>
  <c r="L27" i="45"/>
  <c r="N27" i="45" s="1"/>
  <c r="B27" i="45"/>
  <c r="T26" i="45"/>
  <c r="X26" i="45" s="1"/>
  <c r="P26" i="45"/>
  <c r="H26" i="45"/>
  <c r="D26" i="45"/>
  <c r="B26" i="45"/>
  <c r="T25" i="45"/>
  <c r="P25" i="45"/>
  <c r="X25" i="45" s="1"/>
  <c r="H25" i="45"/>
  <c r="D25" i="45"/>
  <c r="L25" i="45" s="1"/>
  <c r="T23" i="45"/>
  <c r="Z21" i="45"/>
  <c r="X21" i="45"/>
  <c r="V21" i="45"/>
  <c r="N21" i="45"/>
  <c r="L21" i="45"/>
  <c r="B21" i="45"/>
  <c r="Z20" i="45"/>
  <c r="X20" i="45"/>
  <c r="V20" i="45"/>
  <c r="N20" i="45"/>
  <c r="L20" i="45"/>
  <c r="B20" i="45"/>
  <c r="X19" i="45"/>
  <c r="Z19" i="45" s="1"/>
  <c r="V19" i="45"/>
  <c r="L19" i="45"/>
  <c r="N19" i="45" s="1"/>
  <c r="B19" i="45"/>
  <c r="Z18" i="45"/>
  <c r="V18" i="45"/>
  <c r="T18" i="45"/>
  <c r="P18" i="45"/>
  <c r="X18" i="45" s="1"/>
  <c r="H18" i="45"/>
  <c r="D18" i="45"/>
  <c r="Z16" i="45"/>
  <c r="P16" i="45"/>
  <c r="X16" i="45" s="1"/>
  <c r="N16" i="45"/>
  <c r="L16" i="45"/>
  <c r="D16" i="45"/>
  <c r="B16" i="45"/>
  <c r="Z15" i="45"/>
  <c r="P15" i="45"/>
  <c r="X15" i="45" s="1"/>
  <c r="N15" i="45"/>
  <c r="D15" i="45"/>
  <c r="L15" i="45" s="1"/>
  <c r="B15" i="45"/>
  <c r="Z14" i="45"/>
  <c r="X14" i="45"/>
  <c r="P14" i="45"/>
  <c r="L14" i="45"/>
  <c r="N14" i="45" s="1"/>
  <c r="D14" i="45"/>
  <c r="B14" i="45"/>
  <c r="Z13" i="45"/>
  <c r="X13" i="45"/>
  <c r="P13" i="45"/>
  <c r="N13" i="45"/>
  <c r="D13" i="45"/>
  <c r="L13" i="45" s="1"/>
  <c r="B13" i="45"/>
  <c r="T12" i="45"/>
  <c r="H12" i="45"/>
  <c r="J80" i="45" s="1"/>
  <c r="D12" i="45"/>
  <c r="F42" i="45" s="1"/>
  <c r="D4" i="45"/>
  <c r="Z115" i="42"/>
  <c r="X115" i="42"/>
  <c r="L115" i="42"/>
  <c r="N115" i="42" s="1"/>
  <c r="Z111" i="42"/>
  <c r="X111" i="42"/>
  <c r="P111" i="42"/>
  <c r="N111" i="42"/>
  <c r="L111" i="42"/>
  <c r="D111" i="42"/>
  <c r="B111" i="42"/>
  <c r="Z110" i="42"/>
  <c r="P110" i="42"/>
  <c r="P108" i="42" s="1"/>
  <c r="X108" i="42" s="1"/>
  <c r="N110" i="42"/>
  <c r="L110" i="42"/>
  <c r="D110" i="42"/>
  <c r="B110" i="42"/>
  <c r="Z109" i="42"/>
  <c r="X109" i="42"/>
  <c r="P109" i="42"/>
  <c r="N109" i="42"/>
  <c r="L109" i="42"/>
  <c r="D109" i="42"/>
  <c r="B109" i="42"/>
  <c r="Z108" i="42"/>
  <c r="T108" i="42"/>
  <c r="N108" i="42"/>
  <c r="H108" i="42"/>
  <c r="X106" i="42"/>
  <c r="Z106" i="42" s="1"/>
  <c r="N106" i="42"/>
  <c r="L106" i="42"/>
  <c r="B106" i="42"/>
  <c r="T105" i="42"/>
  <c r="P105" i="42"/>
  <c r="X105" i="42" s="1"/>
  <c r="Z105" i="42" s="1"/>
  <c r="N105" i="42"/>
  <c r="L105" i="42"/>
  <c r="H105" i="42"/>
  <c r="D105" i="42"/>
  <c r="B105" i="42"/>
  <c r="Z104" i="42"/>
  <c r="X104" i="42"/>
  <c r="N104" i="42"/>
  <c r="L104" i="42"/>
  <c r="B104" i="42"/>
  <c r="Z103" i="42"/>
  <c r="X103" i="42"/>
  <c r="N103" i="42"/>
  <c r="L103" i="42"/>
  <c r="B103" i="42"/>
  <c r="Z102" i="42"/>
  <c r="T102" i="42"/>
  <c r="P102" i="42"/>
  <c r="H102" i="42"/>
  <c r="N102" i="42" s="1"/>
  <c r="D102" i="42"/>
  <c r="B102" i="42"/>
  <c r="Z101" i="42"/>
  <c r="X101" i="42"/>
  <c r="N101" i="42"/>
  <c r="L101" i="42"/>
  <c r="B101" i="42"/>
  <c r="Z100" i="42"/>
  <c r="X100" i="42"/>
  <c r="T100" i="42"/>
  <c r="P100" i="42"/>
  <c r="N100" i="42"/>
  <c r="H100" i="42"/>
  <c r="D100" i="42"/>
  <c r="L100" i="42" s="1"/>
  <c r="B100" i="42"/>
  <c r="Z99" i="42"/>
  <c r="X99" i="42"/>
  <c r="L99" i="42"/>
  <c r="N99" i="42" s="1"/>
  <c r="B99" i="42"/>
  <c r="X98" i="42"/>
  <c r="Z98" i="42" s="1"/>
  <c r="N98" i="42"/>
  <c r="L98" i="42"/>
  <c r="B98" i="42"/>
  <c r="Z97" i="42"/>
  <c r="X97" i="42"/>
  <c r="T97" i="42"/>
  <c r="P97" i="42"/>
  <c r="H97" i="42"/>
  <c r="D97" i="42"/>
  <c r="B97" i="42"/>
  <c r="Z96" i="42"/>
  <c r="X96" i="42"/>
  <c r="N96" i="42"/>
  <c r="L96" i="42"/>
  <c r="B96" i="42"/>
  <c r="Z95" i="42"/>
  <c r="X95" i="42"/>
  <c r="L95" i="42"/>
  <c r="N95" i="42" s="1"/>
  <c r="B95" i="42"/>
  <c r="Z94" i="42"/>
  <c r="X94" i="42"/>
  <c r="N94" i="42"/>
  <c r="L94" i="42"/>
  <c r="B94" i="42"/>
  <c r="Z93" i="42"/>
  <c r="X93" i="42"/>
  <c r="N93" i="42"/>
  <c r="L93" i="42"/>
  <c r="B93" i="42"/>
  <c r="Z92" i="42"/>
  <c r="X92" i="42"/>
  <c r="N92" i="42"/>
  <c r="L92" i="42"/>
  <c r="B92" i="42"/>
  <c r="X91" i="42"/>
  <c r="Z91" i="42" s="1"/>
  <c r="L91" i="42"/>
  <c r="N91" i="42" s="1"/>
  <c r="B91" i="42"/>
  <c r="Z90" i="42"/>
  <c r="X90" i="42"/>
  <c r="L90" i="42"/>
  <c r="N90" i="42" s="1"/>
  <c r="B90" i="42"/>
  <c r="X89" i="42"/>
  <c r="Z89" i="42" s="1"/>
  <c r="L89" i="42"/>
  <c r="N89" i="42" s="1"/>
  <c r="B89" i="42"/>
  <c r="Z88" i="42"/>
  <c r="X88" i="42"/>
  <c r="L88" i="42"/>
  <c r="N88" i="42" s="1"/>
  <c r="B88" i="42"/>
  <c r="Z87" i="42"/>
  <c r="X87" i="42"/>
  <c r="N87" i="42"/>
  <c r="L87" i="42"/>
  <c r="B87" i="42"/>
  <c r="Z86" i="42"/>
  <c r="X86" i="42"/>
  <c r="N86" i="42"/>
  <c r="L86" i="42"/>
  <c r="B86" i="42"/>
  <c r="X85" i="42"/>
  <c r="Z85" i="42" s="1"/>
  <c r="T85" i="42"/>
  <c r="P85" i="42"/>
  <c r="N85" i="42"/>
  <c r="L85" i="42"/>
  <c r="H85" i="42"/>
  <c r="D85" i="42"/>
  <c r="B85" i="42"/>
  <c r="X84" i="42"/>
  <c r="Z84" i="42" s="1"/>
  <c r="L84" i="42"/>
  <c r="N84" i="42" s="1"/>
  <c r="B84" i="42"/>
  <c r="T83" i="42"/>
  <c r="P83" i="42"/>
  <c r="X83" i="42" s="1"/>
  <c r="H83" i="42"/>
  <c r="D83" i="42"/>
  <c r="L83" i="42" s="1"/>
  <c r="B83" i="42"/>
  <c r="Z82" i="42"/>
  <c r="X82" i="42"/>
  <c r="N82" i="42"/>
  <c r="L82" i="42"/>
  <c r="B82" i="42"/>
  <c r="Z81" i="42"/>
  <c r="X81" i="42"/>
  <c r="L81" i="42"/>
  <c r="N81" i="42" s="1"/>
  <c r="B81" i="42"/>
  <c r="X80" i="42"/>
  <c r="Z80" i="42" s="1"/>
  <c r="N80" i="42"/>
  <c r="L80" i="42"/>
  <c r="B80" i="42"/>
  <c r="X79" i="42"/>
  <c r="Z79" i="42" s="1"/>
  <c r="L79" i="42"/>
  <c r="N79" i="42" s="1"/>
  <c r="B79" i="42"/>
  <c r="X78" i="42"/>
  <c r="Z78" i="42" s="1"/>
  <c r="L78" i="42"/>
  <c r="N78" i="42" s="1"/>
  <c r="B78" i="42"/>
  <c r="Z77" i="42"/>
  <c r="X77" i="42"/>
  <c r="T77" i="42"/>
  <c r="P77" i="42"/>
  <c r="L77" i="42"/>
  <c r="N77" i="42" s="1"/>
  <c r="J77" i="42"/>
  <c r="H77" i="42"/>
  <c r="D77" i="42"/>
  <c r="B77" i="42"/>
  <c r="Z76" i="42"/>
  <c r="X76" i="42"/>
  <c r="N76" i="42"/>
  <c r="L76" i="42"/>
  <c r="B76" i="42"/>
  <c r="Z75" i="42"/>
  <c r="X75" i="42"/>
  <c r="N75" i="42"/>
  <c r="L75" i="42"/>
  <c r="B75" i="42"/>
  <c r="Z74" i="42"/>
  <c r="X74" i="42"/>
  <c r="T74" i="42"/>
  <c r="P74" i="42"/>
  <c r="N74" i="42"/>
  <c r="H74" i="42"/>
  <c r="D74" i="42"/>
  <c r="L74" i="42" s="1"/>
  <c r="B74" i="42"/>
  <c r="Z73" i="42"/>
  <c r="X73" i="42"/>
  <c r="N73" i="42"/>
  <c r="L73" i="42"/>
  <c r="B73" i="42"/>
  <c r="Z72" i="42"/>
  <c r="X72" i="42"/>
  <c r="N72" i="42"/>
  <c r="L72" i="42"/>
  <c r="B72" i="42"/>
  <c r="Z71" i="42"/>
  <c r="X71" i="42"/>
  <c r="N71" i="42"/>
  <c r="L71" i="42"/>
  <c r="J71" i="42"/>
  <c r="B71" i="42"/>
  <c r="X70" i="42"/>
  <c r="T70" i="42"/>
  <c r="Z70" i="42" s="1"/>
  <c r="P70" i="42"/>
  <c r="H70" i="42"/>
  <c r="D70" i="42"/>
  <c r="B70" i="42"/>
  <c r="Z69" i="42"/>
  <c r="X69" i="42"/>
  <c r="L69" i="42"/>
  <c r="N69" i="42" s="1"/>
  <c r="B69" i="42"/>
  <c r="T68" i="42"/>
  <c r="P68" i="42"/>
  <c r="X68" i="42" s="1"/>
  <c r="H68" i="42"/>
  <c r="N68" i="42" s="1"/>
  <c r="D68" i="42"/>
  <c r="L68" i="42" s="1"/>
  <c r="B68" i="42"/>
  <c r="X67" i="42"/>
  <c r="Z67" i="42" s="1"/>
  <c r="N67" i="42"/>
  <c r="L67" i="42"/>
  <c r="B67" i="42"/>
  <c r="X66" i="42"/>
  <c r="Z66" i="42" s="1"/>
  <c r="T66" i="42"/>
  <c r="P66" i="42"/>
  <c r="H66" i="42"/>
  <c r="D66" i="42"/>
  <c r="L66" i="42" s="1"/>
  <c r="N66" i="42" s="1"/>
  <c r="B66" i="42"/>
  <c r="Z65" i="42"/>
  <c r="X65" i="42"/>
  <c r="N65" i="42"/>
  <c r="L65" i="42"/>
  <c r="B65" i="42"/>
  <c r="T64" i="42"/>
  <c r="P64" i="42"/>
  <c r="L64" i="42"/>
  <c r="H64" i="42"/>
  <c r="N64" i="42" s="1"/>
  <c r="D64" i="42"/>
  <c r="B64" i="42"/>
  <c r="Z63" i="42"/>
  <c r="X63" i="42"/>
  <c r="N63" i="42"/>
  <c r="L63" i="42"/>
  <c r="B63" i="42"/>
  <c r="T62" i="42"/>
  <c r="P62" i="42"/>
  <c r="X62" i="42" s="1"/>
  <c r="H62" i="42"/>
  <c r="N62" i="42" s="1"/>
  <c r="D62" i="42"/>
  <c r="L62" i="42" s="1"/>
  <c r="B62" i="42"/>
  <c r="X61" i="42"/>
  <c r="Z61" i="42" s="1"/>
  <c r="N61" i="42"/>
  <c r="L61" i="42"/>
  <c r="B61" i="42"/>
  <c r="T60" i="42"/>
  <c r="P60" i="42"/>
  <c r="X60" i="42" s="1"/>
  <c r="Z60" i="42" s="1"/>
  <c r="L60" i="42"/>
  <c r="N60" i="42" s="1"/>
  <c r="H60" i="42"/>
  <c r="D60" i="42"/>
  <c r="B60" i="42"/>
  <c r="Z59" i="42"/>
  <c r="X59" i="42"/>
  <c r="N59" i="42"/>
  <c r="L59" i="42"/>
  <c r="J59" i="42"/>
  <c r="B59" i="42"/>
  <c r="X58" i="42"/>
  <c r="T58" i="42"/>
  <c r="Z58" i="42" s="1"/>
  <c r="P58" i="42"/>
  <c r="H58" i="42"/>
  <c r="N58" i="42" s="1"/>
  <c r="D58" i="42"/>
  <c r="B58" i="42"/>
  <c r="Z57" i="42"/>
  <c r="X57" i="42"/>
  <c r="L57" i="42"/>
  <c r="N57" i="42" s="1"/>
  <c r="B57" i="42"/>
  <c r="X56" i="42"/>
  <c r="Z56" i="42" s="1"/>
  <c r="N56" i="42"/>
  <c r="L56" i="42"/>
  <c r="B56" i="42"/>
  <c r="Z55" i="42"/>
  <c r="X55" i="42"/>
  <c r="N55" i="42"/>
  <c r="L55" i="42"/>
  <c r="J55" i="42"/>
  <c r="B55" i="42"/>
  <c r="T54" i="42"/>
  <c r="P54" i="42"/>
  <c r="X54" i="42" s="1"/>
  <c r="H54" i="42"/>
  <c r="N54" i="42" s="1"/>
  <c r="D54" i="42"/>
  <c r="L54" i="42" s="1"/>
  <c r="B54" i="42"/>
  <c r="X53" i="42"/>
  <c r="Z53" i="42" s="1"/>
  <c r="N53" i="42"/>
  <c r="L53" i="42"/>
  <c r="B53" i="42"/>
  <c r="T52" i="42"/>
  <c r="P52" i="42"/>
  <c r="X52" i="42" s="1"/>
  <c r="Z52" i="42" s="1"/>
  <c r="L52" i="42"/>
  <c r="N52" i="42" s="1"/>
  <c r="H52" i="42"/>
  <c r="D52" i="42"/>
  <c r="B52" i="42"/>
  <c r="Z51" i="42"/>
  <c r="X51" i="42"/>
  <c r="N51" i="42"/>
  <c r="L51" i="42"/>
  <c r="J51" i="42"/>
  <c r="B51" i="42"/>
  <c r="X50" i="42"/>
  <c r="T50" i="42"/>
  <c r="Z50" i="42" s="1"/>
  <c r="P50" i="42"/>
  <c r="H50" i="42"/>
  <c r="D50" i="42"/>
  <c r="B50" i="42"/>
  <c r="Z49" i="42"/>
  <c r="X49" i="42"/>
  <c r="L49" i="42"/>
  <c r="N49" i="42" s="1"/>
  <c r="J49" i="42"/>
  <c r="B49" i="42"/>
  <c r="T48" i="42"/>
  <c r="Z48" i="42" s="1"/>
  <c r="P48" i="42"/>
  <c r="X48" i="42" s="1"/>
  <c r="H48" i="42"/>
  <c r="D48" i="42"/>
  <c r="L48" i="42" s="1"/>
  <c r="B48" i="42"/>
  <c r="Z47" i="42"/>
  <c r="X47" i="42"/>
  <c r="N47" i="42"/>
  <c r="L47" i="42"/>
  <c r="B47" i="42"/>
  <c r="Z46" i="42"/>
  <c r="X46" i="42"/>
  <c r="N46" i="42"/>
  <c r="L46" i="42"/>
  <c r="J46" i="42"/>
  <c r="B46" i="42"/>
  <c r="X45" i="42"/>
  <c r="Z45" i="42" s="1"/>
  <c r="N45" i="42"/>
  <c r="L45" i="42"/>
  <c r="B45" i="42"/>
  <c r="X44" i="42"/>
  <c r="Z44" i="42" s="1"/>
  <c r="L44" i="42"/>
  <c r="N44" i="42" s="1"/>
  <c r="B44" i="42"/>
  <c r="Z43" i="42"/>
  <c r="X43" i="42"/>
  <c r="N43" i="42"/>
  <c r="L43" i="42"/>
  <c r="B43" i="42"/>
  <c r="X42" i="42"/>
  <c r="Z42" i="42" s="1"/>
  <c r="L42" i="42"/>
  <c r="N42" i="42" s="1"/>
  <c r="J42" i="42"/>
  <c r="B42" i="42"/>
  <c r="X41" i="42"/>
  <c r="Z41" i="42" s="1"/>
  <c r="N41" i="42"/>
  <c r="L41" i="42"/>
  <c r="B41" i="42"/>
  <c r="Z40" i="42"/>
  <c r="X40" i="42"/>
  <c r="N40" i="42"/>
  <c r="L40" i="42"/>
  <c r="J40" i="42"/>
  <c r="B40" i="42"/>
  <c r="X39" i="42"/>
  <c r="Z39" i="42" s="1"/>
  <c r="N39" i="42"/>
  <c r="L39" i="42"/>
  <c r="B39" i="42"/>
  <c r="X38" i="42"/>
  <c r="Z38" i="42" s="1"/>
  <c r="L38" i="42"/>
  <c r="N38" i="42" s="1"/>
  <c r="J38" i="42"/>
  <c r="B38" i="42"/>
  <c r="T37" i="42"/>
  <c r="P37" i="42"/>
  <c r="J37" i="42"/>
  <c r="H37" i="42"/>
  <c r="D37" i="42"/>
  <c r="B37" i="42"/>
  <c r="X36" i="42"/>
  <c r="Z36" i="42" s="1"/>
  <c r="L36" i="42"/>
  <c r="N36" i="42" s="1"/>
  <c r="B36" i="42"/>
  <c r="Z35" i="42"/>
  <c r="X35" i="42"/>
  <c r="N35" i="42"/>
  <c r="L35" i="42"/>
  <c r="J35" i="42"/>
  <c r="B35" i="42"/>
  <c r="X34" i="42"/>
  <c r="Z34" i="42" s="1"/>
  <c r="L34" i="42"/>
  <c r="N34" i="42" s="1"/>
  <c r="B34" i="42"/>
  <c r="Z33" i="42"/>
  <c r="X33" i="42"/>
  <c r="N33" i="42"/>
  <c r="L33" i="42"/>
  <c r="J33" i="42"/>
  <c r="B33" i="42"/>
  <c r="X32" i="42"/>
  <c r="Z32" i="42" s="1"/>
  <c r="L32" i="42"/>
  <c r="N32" i="42" s="1"/>
  <c r="B32" i="42"/>
  <c r="Z31" i="42"/>
  <c r="X31" i="42"/>
  <c r="N31" i="42"/>
  <c r="L31" i="42"/>
  <c r="J31" i="42"/>
  <c r="B31" i="42"/>
  <c r="X30" i="42"/>
  <c r="Z30" i="42" s="1"/>
  <c r="L30" i="42"/>
  <c r="N30" i="42" s="1"/>
  <c r="B30" i="42"/>
  <c r="Z29" i="42"/>
  <c r="X29" i="42"/>
  <c r="N29" i="42"/>
  <c r="L29" i="42"/>
  <c r="J29" i="42"/>
  <c r="B29" i="42"/>
  <c r="X28" i="42"/>
  <c r="Z28" i="42" s="1"/>
  <c r="L28" i="42"/>
  <c r="N28" i="42" s="1"/>
  <c r="B28" i="42"/>
  <c r="T27" i="42"/>
  <c r="P27" i="42"/>
  <c r="X27" i="42" s="1"/>
  <c r="Z27" i="42" s="1"/>
  <c r="H27" i="42"/>
  <c r="D27" i="42"/>
  <c r="L27" i="42" s="1"/>
  <c r="N27" i="42" s="1"/>
  <c r="B27" i="42"/>
  <c r="T26" i="42"/>
  <c r="Z26" i="42" s="1"/>
  <c r="P26" i="42"/>
  <c r="X26" i="42" s="1"/>
  <c r="H26" i="42"/>
  <c r="N26" i="42" s="1"/>
  <c r="D26" i="42"/>
  <c r="L26" i="42" s="1"/>
  <c r="T24" i="42"/>
  <c r="T113" i="42" s="1"/>
  <c r="H24" i="42"/>
  <c r="H113" i="42" s="1"/>
  <c r="Z22" i="42"/>
  <c r="X22" i="42"/>
  <c r="N22" i="42"/>
  <c r="L22" i="42"/>
  <c r="B22" i="42"/>
  <c r="Z21" i="42"/>
  <c r="X21" i="42"/>
  <c r="V21" i="42"/>
  <c r="N21" i="42"/>
  <c r="L21" i="42"/>
  <c r="J21" i="42"/>
  <c r="B21" i="42"/>
  <c r="X20" i="42"/>
  <c r="Z20" i="42" s="1"/>
  <c r="L20" i="42"/>
  <c r="N20" i="42" s="1"/>
  <c r="B20" i="42"/>
  <c r="Z19" i="42"/>
  <c r="X19" i="42"/>
  <c r="V19" i="42"/>
  <c r="T19" i="42"/>
  <c r="P19" i="42"/>
  <c r="N19" i="42"/>
  <c r="L19" i="42"/>
  <c r="J19" i="42"/>
  <c r="H19" i="42"/>
  <c r="D19" i="42"/>
  <c r="Z17" i="42"/>
  <c r="P17" i="42"/>
  <c r="X17" i="42" s="1"/>
  <c r="N17" i="42"/>
  <c r="D17" i="42"/>
  <c r="L17" i="42" s="1"/>
  <c r="B17" i="42"/>
  <c r="X16" i="42"/>
  <c r="Z16" i="42" s="1"/>
  <c r="P16" i="42"/>
  <c r="D16" i="42"/>
  <c r="L16" i="42" s="1"/>
  <c r="N16" i="42" s="1"/>
  <c r="B16" i="42"/>
  <c r="Z15" i="42"/>
  <c r="P15" i="42"/>
  <c r="X15" i="42" s="1"/>
  <c r="N15" i="42"/>
  <c r="L15" i="42"/>
  <c r="D15" i="42"/>
  <c r="B15" i="42"/>
  <c r="Z14" i="42"/>
  <c r="P14" i="42"/>
  <c r="X14" i="42" s="1"/>
  <c r="N14" i="42"/>
  <c r="D14" i="42"/>
  <c r="L14" i="42" s="1"/>
  <c r="B14" i="42"/>
  <c r="P13" i="42"/>
  <c r="X13" i="42" s="1"/>
  <c r="Z13" i="42" s="1"/>
  <c r="L13" i="42"/>
  <c r="N13" i="42" s="1"/>
  <c r="D13" i="42"/>
  <c r="B13" i="42"/>
  <c r="T12" i="42"/>
  <c r="P12" i="42"/>
  <c r="R111" i="42" s="1"/>
  <c r="H12" i="42"/>
  <c r="J84" i="42" s="1"/>
  <c r="D4" i="42"/>
  <c r="X120" i="39"/>
  <c r="Z120" i="39" s="1"/>
  <c r="N120" i="39"/>
  <c r="L120" i="39"/>
  <c r="Z116" i="39"/>
  <c r="X116" i="39"/>
  <c r="P116" i="39"/>
  <c r="N116" i="39"/>
  <c r="L116" i="39"/>
  <c r="D116" i="39"/>
  <c r="B116" i="39"/>
  <c r="Z115" i="39"/>
  <c r="X115" i="39"/>
  <c r="P115" i="39"/>
  <c r="N115" i="39"/>
  <c r="D115" i="39"/>
  <c r="L115" i="39" s="1"/>
  <c r="B115" i="39"/>
  <c r="Z114" i="39"/>
  <c r="P114" i="39"/>
  <c r="X114" i="39" s="1"/>
  <c r="N114" i="39"/>
  <c r="D114" i="39"/>
  <c r="L114" i="39" s="1"/>
  <c r="B114" i="39"/>
  <c r="T113" i="39"/>
  <c r="Z113" i="39" s="1"/>
  <c r="P113" i="39"/>
  <c r="X113" i="39" s="1"/>
  <c r="H113" i="39"/>
  <c r="N113" i="39" s="1"/>
  <c r="X111" i="39"/>
  <c r="Z111" i="39" s="1"/>
  <c r="L111" i="39"/>
  <c r="N111" i="39" s="1"/>
  <c r="B111" i="39"/>
  <c r="Z110" i="39"/>
  <c r="X110" i="39"/>
  <c r="T110" i="39"/>
  <c r="P110" i="39"/>
  <c r="N110" i="39"/>
  <c r="L110" i="39"/>
  <c r="H110" i="39"/>
  <c r="D110" i="39"/>
  <c r="B110" i="39"/>
  <c r="Z109" i="39"/>
  <c r="X109" i="39"/>
  <c r="N109" i="39"/>
  <c r="L109" i="39"/>
  <c r="B109" i="39"/>
  <c r="Z108" i="39"/>
  <c r="X108" i="39"/>
  <c r="N108" i="39"/>
  <c r="L108" i="39"/>
  <c r="B108" i="39"/>
  <c r="Z107" i="39"/>
  <c r="X107" i="39"/>
  <c r="T107" i="39"/>
  <c r="P107" i="39"/>
  <c r="N107" i="39"/>
  <c r="L107" i="39"/>
  <c r="H107" i="39"/>
  <c r="D107" i="39"/>
  <c r="B107" i="39"/>
  <c r="Z106" i="39"/>
  <c r="X106" i="39"/>
  <c r="N106" i="39"/>
  <c r="L106" i="39"/>
  <c r="J106" i="39"/>
  <c r="B106" i="39"/>
  <c r="T105" i="39"/>
  <c r="P105" i="39"/>
  <c r="H105" i="39"/>
  <c r="D105" i="39"/>
  <c r="B105" i="39"/>
  <c r="Z104" i="39"/>
  <c r="X104" i="39"/>
  <c r="L104" i="39"/>
  <c r="N104" i="39" s="1"/>
  <c r="B104" i="39"/>
  <c r="X103" i="39"/>
  <c r="Z103" i="39" s="1"/>
  <c r="L103" i="39"/>
  <c r="N103" i="39" s="1"/>
  <c r="B103" i="39"/>
  <c r="Z102" i="39"/>
  <c r="X102" i="39"/>
  <c r="T102" i="39"/>
  <c r="P102" i="39"/>
  <c r="N102" i="39"/>
  <c r="L102" i="39"/>
  <c r="H102" i="39"/>
  <c r="D102" i="39"/>
  <c r="B102" i="39"/>
  <c r="X101" i="39"/>
  <c r="Z101" i="39" s="1"/>
  <c r="L101" i="39"/>
  <c r="N101" i="39" s="1"/>
  <c r="B101" i="39"/>
  <c r="X100" i="39"/>
  <c r="Z100" i="39" s="1"/>
  <c r="N100" i="39"/>
  <c r="L100" i="39"/>
  <c r="B100" i="39"/>
  <c r="Z99" i="39"/>
  <c r="X99" i="39"/>
  <c r="N99" i="39"/>
  <c r="L99" i="39"/>
  <c r="B99" i="39"/>
  <c r="Z98" i="39"/>
  <c r="X98" i="39"/>
  <c r="N98" i="39"/>
  <c r="L98" i="39"/>
  <c r="B98" i="39"/>
  <c r="Z97" i="39"/>
  <c r="X97" i="39"/>
  <c r="N97" i="39"/>
  <c r="L97" i="39"/>
  <c r="B97" i="39"/>
  <c r="X96" i="39"/>
  <c r="Z96" i="39" s="1"/>
  <c r="N96" i="39"/>
  <c r="L96" i="39"/>
  <c r="B96" i="39"/>
  <c r="X95" i="39"/>
  <c r="Z95" i="39" s="1"/>
  <c r="L95" i="39"/>
  <c r="N95" i="39" s="1"/>
  <c r="B95" i="39"/>
  <c r="X94" i="39"/>
  <c r="Z94" i="39" s="1"/>
  <c r="N94" i="39"/>
  <c r="L94" i="39"/>
  <c r="B94" i="39"/>
  <c r="X93" i="39"/>
  <c r="Z93" i="39" s="1"/>
  <c r="L93" i="39"/>
  <c r="N93" i="39" s="1"/>
  <c r="B93" i="39"/>
  <c r="X92" i="39"/>
  <c r="Z92" i="39" s="1"/>
  <c r="N92" i="39"/>
  <c r="L92" i="39"/>
  <c r="B92" i="39"/>
  <c r="Z91" i="39"/>
  <c r="X91" i="39"/>
  <c r="N91" i="39"/>
  <c r="L91" i="39"/>
  <c r="B91" i="39"/>
  <c r="T90" i="39"/>
  <c r="P90" i="39"/>
  <c r="J90" i="39"/>
  <c r="H90" i="39"/>
  <c r="D90" i="39"/>
  <c r="B90" i="39"/>
  <c r="X89" i="39"/>
  <c r="Z89" i="39" s="1"/>
  <c r="L89" i="39"/>
  <c r="N89" i="39" s="1"/>
  <c r="B89" i="39"/>
  <c r="Z88" i="39"/>
  <c r="T88" i="39"/>
  <c r="P88" i="39"/>
  <c r="X88" i="39" s="1"/>
  <c r="H88" i="39"/>
  <c r="D88" i="39"/>
  <c r="L88" i="39" s="1"/>
  <c r="N88" i="39" s="1"/>
  <c r="B88" i="39"/>
  <c r="X87" i="39"/>
  <c r="Z87" i="39" s="1"/>
  <c r="L87" i="39"/>
  <c r="N87" i="39" s="1"/>
  <c r="B87" i="39"/>
  <c r="Z86" i="39"/>
  <c r="X86" i="39"/>
  <c r="L86" i="39"/>
  <c r="N86" i="39" s="1"/>
  <c r="J86" i="39"/>
  <c r="B86" i="39"/>
  <c r="X85" i="39"/>
  <c r="Z85" i="39" s="1"/>
  <c r="L85" i="39"/>
  <c r="N85" i="39" s="1"/>
  <c r="B85" i="39"/>
  <c r="Z84" i="39"/>
  <c r="X84" i="39"/>
  <c r="L84" i="39"/>
  <c r="N84" i="39" s="1"/>
  <c r="B84" i="39"/>
  <c r="X83" i="39"/>
  <c r="Z83" i="39" s="1"/>
  <c r="L83" i="39"/>
  <c r="N83" i="39" s="1"/>
  <c r="B83" i="39"/>
  <c r="Z82" i="39"/>
  <c r="X82" i="39"/>
  <c r="T82" i="39"/>
  <c r="P82" i="39"/>
  <c r="N82" i="39"/>
  <c r="L82" i="39"/>
  <c r="J82" i="39"/>
  <c r="H82" i="39"/>
  <c r="D82" i="39"/>
  <c r="B82" i="39"/>
  <c r="X81" i="39"/>
  <c r="Z81" i="39" s="1"/>
  <c r="L81" i="39"/>
  <c r="N81" i="39" s="1"/>
  <c r="B81" i="39"/>
  <c r="Z80" i="39"/>
  <c r="X80" i="39"/>
  <c r="N80" i="39"/>
  <c r="L80" i="39"/>
  <c r="B80" i="39"/>
  <c r="T79" i="39"/>
  <c r="P79" i="39"/>
  <c r="X79" i="39" s="1"/>
  <c r="Z79" i="39" s="1"/>
  <c r="H79" i="39"/>
  <c r="D79" i="39"/>
  <c r="L79" i="39" s="1"/>
  <c r="N79" i="39" s="1"/>
  <c r="B79" i="39"/>
  <c r="Z78" i="39"/>
  <c r="X78" i="39"/>
  <c r="N78" i="39"/>
  <c r="L78" i="39"/>
  <c r="J78" i="39"/>
  <c r="B78" i="39"/>
  <c r="Z77" i="39"/>
  <c r="X77" i="39"/>
  <c r="N77" i="39"/>
  <c r="L77" i="39"/>
  <c r="B77" i="39"/>
  <c r="Z76" i="39"/>
  <c r="X76" i="39"/>
  <c r="N76" i="39"/>
  <c r="L76" i="39"/>
  <c r="J76" i="39"/>
  <c r="B76" i="39"/>
  <c r="X75" i="39"/>
  <c r="T75" i="39"/>
  <c r="P75" i="39"/>
  <c r="L75" i="39"/>
  <c r="H75" i="39"/>
  <c r="D75" i="39"/>
  <c r="B75" i="39"/>
  <c r="Z74" i="39"/>
  <c r="X74" i="39"/>
  <c r="L74" i="39"/>
  <c r="N74" i="39" s="1"/>
  <c r="J74" i="39"/>
  <c r="B74" i="39"/>
  <c r="T73" i="39"/>
  <c r="P73" i="39"/>
  <c r="X73" i="39" s="1"/>
  <c r="H73" i="39"/>
  <c r="D73" i="39"/>
  <c r="B73" i="39"/>
  <c r="X72" i="39"/>
  <c r="Z72" i="39" s="1"/>
  <c r="N72" i="39"/>
  <c r="L72" i="39"/>
  <c r="B72" i="39"/>
  <c r="X71" i="39"/>
  <c r="Z71" i="39" s="1"/>
  <c r="T71" i="39"/>
  <c r="P71" i="39"/>
  <c r="H71" i="39"/>
  <c r="D71" i="39"/>
  <c r="L71" i="39" s="1"/>
  <c r="N71" i="39" s="1"/>
  <c r="B71" i="39"/>
  <c r="Z70" i="39"/>
  <c r="X70" i="39"/>
  <c r="N70" i="39"/>
  <c r="L70" i="39"/>
  <c r="J70" i="39"/>
  <c r="B70" i="39"/>
  <c r="X69" i="39"/>
  <c r="T69" i="39"/>
  <c r="P69" i="39"/>
  <c r="H69" i="39"/>
  <c r="D69" i="39"/>
  <c r="B69" i="39"/>
  <c r="Z68" i="39"/>
  <c r="X68" i="39"/>
  <c r="N68" i="39"/>
  <c r="L68" i="39"/>
  <c r="J68" i="39"/>
  <c r="B68" i="39"/>
  <c r="T67" i="39"/>
  <c r="P67" i="39"/>
  <c r="X67" i="39" s="1"/>
  <c r="H67" i="39"/>
  <c r="N67" i="39" s="1"/>
  <c r="D67" i="39"/>
  <c r="L67" i="39" s="1"/>
  <c r="B67" i="39"/>
  <c r="Z66" i="39"/>
  <c r="X66" i="39"/>
  <c r="N66" i="39"/>
  <c r="L66" i="39"/>
  <c r="B66" i="39"/>
  <c r="Z65" i="39"/>
  <c r="T65" i="39"/>
  <c r="P65" i="39"/>
  <c r="X65" i="39" s="1"/>
  <c r="N65" i="39"/>
  <c r="L65" i="39"/>
  <c r="H65" i="39"/>
  <c r="D65" i="39"/>
  <c r="B65" i="39"/>
  <c r="Z64" i="39"/>
  <c r="X64" i="39"/>
  <c r="N64" i="39"/>
  <c r="L64" i="39"/>
  <c r="J64" i="39"/>
  <c r="B64" i="39"/>
  <c r="T63" i="39"/>
  <c r="P63" i="39"/>
  <c r="H63" i="39"/>
  <c r="L63" i="39" s="1"/>
  <c r="D63" i="39"/>
  <c r="B63" i="39"/>
  <c r="Z62" i="39"/>
  <c r="X62" i="39"/>
  <c r="N62" i="39"/>
  <c r="L62" i="39"/>
  <c r="J62" i="39"/>
  <c r="B62" i="39"/>
  <c r="T61" i="39"/>
  <c r="Z61" i="39" s="1"/>
  <c r="P61" i="39"/>
  <c r="H61" i="39"/>
  <c r="N61" i="39" s="1"/>
  <c r="D61" i="39"/>
  <c r="L61" i="39" s="1"/>
  <c r="B61" i="39"/>
  <c r="X60" i="39"/>
  <c r="Z60" i="39" s="1"/>
  <c r="N60" i="39"/>
  <c r="L60" i="39"/>
  <c r="B60" i="39"/>
  <c r="X59" i="39"/>
  <c r="Z59" i="39" s="1"/>
  <c r="L59" i="39"/>
  <c r="N59" i="39" s="1"/>
  <c r="J59" i="39"/>
  <c r="B59" i="39"/>
  <c r="Z58" i="39"/>
  <c r="X58" i="39"/>
  <c r="N58" i="39"/>
  <c r="L58" i="39"/>
  <c r="B58" i="39"/>
  <c r="T57" i="39"/>
  <c r="P57" i="39"/>
  <c r="X57" i="39" s="1"/>
  <c r="Z57" i="39" s="1"/>
  <c r="N57" i="39"/>
  <c r="L57" i="39"/>
  <c r="H57" i="39"/>
  <c r="D57" i="39"/>
  <c r="B57" i="39"/>
  <c r="Z56" i="39"/>
  <c r="X56" i="39"/>
  <c r="N56" i="39"/>
  <c r="L56" i="39"/>
  <c r="B56" i="39"/>
  <c r="T55" i="39"/>
  <c r="P55" i="39"/>
  <c r="H55" i="39"/>
  <c r="D55" i="39"/>
  <c r="B55" i="39"/>
  <c r="Z54" i="39"/>
  <c r="X54" i="39"/>
  <c r="L54" i="39"/>
  <c r="N54" i="39" s="1"/>
  <c r="J54" i="39"/>
  <c r="B54" i="39"/>
  <c r="T53" i="39"/>
  <c r="P53" i="39"/>
  <c r="X53" i="39" s="1"/>
  <c r="H53" i="39"/>
  <c r="D53" i="39"/>
  <c r="L53" i="39" s="1"/>
  <c r="B53" i="39"/>
  <c r="X52" i="39"/>
  <c r="Z52" i="39" s="1"/>
  <c r="N52" i="39"/>
  <c r="L52" i="39"/>
  <c r="B52" i="39"/>
  <c r="T51" i="39"/>
  <c r="P51" i="39"/>
  <c r="X51" i="39" s="1"/>
  <c r="Z51" i="39" s="1"/>
  <c r="H51" i="39"/>
  <c r="D51" i="39"/>
  <c r="L51" i="39" s="1"/>
  <c r="N51" i="39" s="1"/>
  <c r="B51" i="39"/>
  <c r="Z50" i="39"/>
  <c r="X50" i="39"/>
  <c r="N50" i="39"/>
  <c r="L50" i="39"/>
  <c r="J50" i="39"/>
  <c r="B50" i="39"/>
  <c r="Z49" i="39"/>
  <c r="X49" i="39"/>
  <c r="N49" i="39"/>
  <c r="L49" i="39"/>
  <c r="B49" i="39"/>
  <c r="Z48" i="39"/>
  <c r="X48" i="39"/>
  <c r="N48" i="39"/>
  <c r="L48" i="39"/>
  <c r="J48" i="39"/>
  <c r="B48" i="39"/>
  <c r="X47" i="39"/>
  <c r="Z47" i="39" s="1"/>
  <c r="L47" i="39"/>
  <c r="N47" i="39" s="1"/>
  <c r="B47" i="39"/>
  <c r="Z46" i="39"/>
  <c r="X46" i="39"/>
  <c r="N46" i="39"/>
  <c r="L46" i="39"/>
  <c r="J46" i="39"/>
  <c r="B46" i="39"/>
  <c r="X45" i="39"/>
  <c r="Z45" i="39" s="1"/>
  <c r="L45" i="39"/>
  <c r="N45" i="39" s="1"/>
  <c r="B45" i="39"/>
  <c r="Z44" i="39"/>
  <c r="X44" i="39"/>
  <c r="N44" i="39"/>
  <c r="L44" i="39"/>
  <c r="J44" i="39"/>
  <c r="B44" i="39"/>
  <c r="Z43" i="39"/>
  <c r="X43" i="39"/>
  <c r="N43" i="39"/>
  <c r="L43" i="39"/>
  <c r="B43" i="39"/>
  <c r="Z42" i="39"/>
  <c r="X42" i="39"/>
  <c r="N42" i="39"/>
  <c r="L42" i="39"/>
  <c r="B42" i="39"/>
  <c r="X41" i="39"/>
  <c r="Z41" i="39" s="1"/>
  <c r="L41" i="39"/>
  <c r="N41" i="39" s="1"/>
  <c r="B41" i="39"/>
  <c r="T40" i="39"/>
  <c r="P40" i="39"/>
  <c r="X40" i="39" s="1"/>
  <c r="Z40" i="39" s="1"/>
  <c r="H40" i="39"/>
  <c r="D40" i="39"/>
  <c r="L40" i="39" s="1"/>
  <c r="N40" i="39" s="1"/>
  <c r="B40" i="39"/>
  <c r="X39" i="39"/>
  <c r="Z39" i="39" s="1"/>
  <c r="L39" i="39"/>
  <c r="N39" i="39" s="1"/>
  <c r="B39" i="39"/>
  <c r="Z38" i="39"/>
  <c r="X38" i="39"/>
  <c r="N38" i="39"/>
  <c r="L38" i="39"/>
  <c r="J38" i="39"/>
  <c r="B38" i="39"/>
  <c r="X37" i="39"/>
  <c r="Z37" i="39" s="1"/>
  <c r="N37" i="39"/>
  <c r="L37" i="39"/>
  <c r="B37" i="39"/>
  <c r="Z36" i="39"/>
  <c r="X36" i="39"/>
  <c r="N36" i="39"/>
  <c r="L36" i="39"/>
  <c r="J36" i="39"/>
  <c r="B36" i="39"/>
  <c r="X35" i="39"/>
  <c r="Z35" i="39" s="1"/>
  <c r="L35" i="39"/>
  <c r="N35" i="39" s="1"/>
  <c r="B35" i="39"/>
  <c r="X34" i="39"/>
  <c r="Z34" i="39" s="1"/>
  <c r="L34" i="39"/>
  <c r="N34" i="39" s="1"/>
  <c r="J34" i="39"/>
  <c r="B34" i="39"/>
  <c r="X33" i="39"/>
  <c r="Z33" i="39" s="1"/>
  <c r="L33" i="39"/>
  <c r="N33" i="39" s="1"/>
  <c r="B33" i="39"/>
  <c r="X32" i="39"/>
  <c r="Z32" i="39" s="1"/>
  <c r="L32" i="39"/>
  <c r="N32" i="39" s="1"/>
  <c r="J32" i="39"/>
  <c r="B32" i="39"/>
  <c r="X31" i="39"/>
  <c r="Z31" i="39" s="1"/>
  <c r="L31" i="39"/>
  <c r="N31" i="39" s="1"/>
  <c r="B31" i="39"/>
  <c r="X30" i="39"/>
  <c r="Z30" i="39" s="1"/>
  <c r="T30" i="39"/>
  <c r="P30" i="39"/>
  <c r="N30" i="39"/>
  <c r="L30" i="39"/>
  <c r="J30" i="39"/>
  <c r="H30" i="39"/>
  <c r="D30" i="39"/>
  <c r="B30" i="39"/>
  <c r="T29" i="39"/>
  <c r="P29" i="39"/>
  <c r="X29" i="39" s="1"/>
  <c r="Z29" i="39" s="1"/>
  <c r="N29" i="39"/>
  <c r="L29" i="39"/>
  <c r="H29" i="39"/>
  <c r="D29" i="39"/>
  <c r="H27" i="39"/>
  <c r="H118" i="39" s="1"/>
  <c r="Z25" i="39"/>
  <c r="X25" i="39"/>
  <c r="N25" i="39"/>
  <c r="L25" i="39"/>
  <c r="J25" i="39"/>
  <c r="B25" i="39"/>
  <c r="Z24" i="39"/>
  <c r="X24" i="39"/>
  <c r="V24" i="39"/>
  <c r="N24" i="39"/>
  <c r="L24" i="39"/>
  <c r="J24" i="39"/>
  <c r="B24" i="39"/>
  <c r="Z23" i="39"/>
  <c r="X23" i="39"/>
  <c r="N23" i="39"/>
  <c r="L23" i="39"/>
  <c r="J23" i="39"/>
  <c r="B23" i="39"/>
  <c r="Z22" i="39"/>
  <c r="V22" i="39"/>
  <c r="T22" i="39"/>
  <c r="X22" i="39" s="1"/>
  <c r="P22" i="39"/>
  <c r="L22" i="39"/>
  <c r="N22" i="39" s="1"/>
  <c r="J22" i="39"/>
  <c r="H22" i="39"/>
  <c r="D22" i="39"/>
  <c r="Z20" i="39"/>
  <c r="P20" i="39"/>
  <c r="X20" i="39" s="1"/>
  <c r="N20" i="39"/>
  <c r="L20" i="39"/>
  <c r="D20" i="39"/>
  <c r="B20" i="39"/>
  <c r="Z19" i="39"/>
  <c r="X19" i="39"/>
  <c r="P19" i="39"/>
  <c r="N19" i="39"/>
  <c r="D19" i="39"/>
  <c r="L19" i="39" s="1"/>
  <c r="B19" i="39"/>
  <c r="Z18" i="39"/>
  <c r="P18" i="39"/>
  <c r="X18" i="39" s="1"/>
  <c r="N18" i="39"/>
  <c r="D18" i="39"/>
  <c r="L18" i="39" s="1"/>
  <c r="B18" i="39"/>
  <c r="Z17" i="39"/>
  <c r="X17" i="39"/>
  <c r="P17" i="39"/>
  <c r="L17" i="39"/>
  <c r="N17" i="39" s="1"/>
  <c r="D17" i="39"/>
  <c r="B17" i="39"/>
  <c r="Z16" i="39"/>
  <c r="P16" i="39"/>
  <c r="X16" i="39" s="1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L14" i="39"/>
  <c r="D14" i="39"/>
  <c r="B14" i="39"/>
  <c r="X13" i="39"/>
  <c r="Z13" i="39" s="1"/>
  <c r="P13" i="39"/>
  <c r="D13" i="39"/>
  <c r="L13" i="39" s="1"/>
  <c r="N13" i="39" s="1"/>
  <c r="B13" i="39"/>
  <c r="T12" i="39"/>
  <c r="V84" i="39" s="1"/>
  <c r="H12" i="39"/>
  <c r="D4" i="39"/>
  <c r="X122" i="36"/>
  <c r="Z122" i="36" s="1"/>
  <c r="L122" i="36"/>
  <c r="N122" i="36" s="1"/>
  <c r="Z118" i="36"/>
  <c r="X118" i="36"/>
  <c r="P118" i="36"/>
  <c r="N118" i="36"/>
  <c r="D118" i="36"/>
  <c r="L118" i="36" s="1"/>
  <c r="B118" i="36"/>
  <c r="Z117" i="36"/>
  <c r="X117" i="36"/>
  <c r="P117" i="36"/>
  <c r="N117" i="36"/>
  <c r="L117" i="36"/>
  <c r="D117" i="36"/>
  <c r="B117" i="36"/>
  <c r="Z116" i="36"/>
  <c r="X116" i="36"/>
  <c r="P116" i="36"/>
  <c r="N116" i="36"/>
  <c r="L116" i="36"/>
  <c r="D116" i="36"/>
  <c r="D115" i="36" s="1"/>
  <c r="L115" i="36" s="1"/>
  <c r="B116" i="36"/>
  <c r="T115" i="36"/>
  <c r="Z115" i="36" s="1"/>
  <c r="H115" i="36"/>
  <c r="N115" i="36" s="1"/>
  <c r="Z113" i="36"/>
  <c r="X113" i="36"/>
  <c r="N113" i="36"/>
  <c r="L113" i="36"/>
  <c r="B113" i="36"/>
  <c r="Z112" i="36"/>
  <c r="X112" i="36"/>
  <c r="T112" i="36"/>
  <c r="P112" i="36"/>
  <c r="H112" i="36"/>
  <c r="N112" i="36" s="1"/>
  <c r="D112" i="36"/>
  <c r="L112" i="36" s="1"/>
  <c r="B112" i="36"/>
  <c r="Z111" i="36"/>
  <c r="X111" i="36"/>
  <c r="N111" i="36"/>
  <c r="L111" i="36"/>
  <c r="B111" i="36"/>
  <c r="X110" i="36"/>
  <c r="Z110" i="36" s="1"/>
  <c r="L110" i="36"/>
  <c r="N110" i="36" s="1"/>
  <c r="B110" i="36"/>
  <c r="Z109" i="36"/>
  <c r="T109" i="36"/>
  <c r="P109" i="36"/>
  <c r="X109" i="36" s="1"/>
  <c r="H109" i="36"/>
  <c r="D109" i="36"/>
  <c r="L109" i="36" s="1"/>
  <c r="N109" i="36" s="1"/>
  <c r="B109" i="36"/>
  <c r="X108" i="36"/>
  <c r="Z108" i="36" s="1"/>
  <c r="L108" i="36"/>
  <c r="N108" i="36" s="1"/>
  <c r="B108" i="36"/>
  <c r="T107" i="36"/>
  <c r="P107" i="36"/>
  <c r="X107" i="36" s="1"/>
  <c r="Z107" i="36" s="1"/>
  <c r="H107" i="36"/>
  <c r="D107" i="36"/>
  <c r="L107" i="36" s="1"/>
  <c r="N107" i="36" s="1"/>
  <c r="B107" i="36"/>
  <c r="X106" i="36"/>
  <c r="Z106" i="36" s="1"/>
  <c r="N106" i="36"/>
  <c r="L106" i="36"/>
  <c r="B106" i="36"/>
  <c r="X105" i="36"/>
  <c r="Z105" i="36" s="1"/>
  <c r="N105" i="36"/>
  <c r="L105" i="36"/>
  <c r="B105" i="36"/>
  <c r="T104" i="36"/>
  <c r="P104" i="36"/>
  <c r="X104" i="36" s="1"/>
  <c r="Z104" i="36" s="1"/>
  <c r="H104" i="36"/>
  <c r="D104" i="36"/>
  <c r="L104" i="36" s="1"/>
  <c r="N104" i="36" s="1"/>
  <c r="B104" i="36"/>
  <c r="Z103" i="36"/>
  <c r="X103" i="36"/>
  <c r="L103" i="36"/>
  <c r="N103" i="36" s="1"/>
  <c r="B103" i="36"/>
  <c r="X102" i="36"/>
  <c r="Z102" i="36" s="1"/>
  <c r="L102" i="36"/>
  <c r="N102" i="36" s="1"/>
  <c r="B102" i="36"/>
  <c r="Z101" i="36"/>
  <c r="X101" i="36"/>
  <c r="N101" i="36"/>
  <c r="L101" i="36"/>
  <c r="B101" i="36"/>
  <c r="X100" i="36"/>
  <c r="Z100" i="36" s="1"/>
  <c r="L100" i="36"/>
  <c r="N100" i="36" s="1"/>
  <c r="B100" i="36"/>
  <c r="Z99" i="36"/>
  <c r="X99" i="36"/>
  <c r="L99" i="36"/>
  <c r="N99" i="36" s="1"/>
  <c r="B99" i="36"/>
  <c r="X98" i="36"/>
  <c r="Z98" i="36" s="1"/>
  <c r="L98" i="36"/>
  <c r="N98" i="36" s="1"/>
  <c r="B98" i="36"/>
  <c r="Z97" i="36"/>
  <c r="X97" i="36"/>
  <c r="L97" i="36"/>
  <c r="N97" i="36" s="1"/>
  <c r="B97" i="36"/>
  <c r="X96" i="36"/>
  <c r="Z96" i="36" s="1"/>
  <c r="L96" i="36"/>
  <c r="N96" i="36" s="1"/>
  <c r="B96" i="36"/>
  <c r="Z95" i="36"/>
  <c r="X95" i="36"/>
  <c r="L95" i="36"/>
  <c r="N95" i="36" s="1"/>
  <c r="B95" i="36"/>
  <c r="X94" i="36"/>
  <c r="Z94" i="36" s="1"/>
  <c r="L94" i="36"/>
  <c r="N94" i="36" s="1"/>
  <c r="B94" i="36"/>
  <c r="Z93" i="36"/>
  <c r="X93" i="36"/>
  <c r="L93" i="36"/>
  <c r="N93" i="36" s="1"/>
  <c r="B93" i="36"/>
  <c r="T92" i="36"/>
  <c r="P92" i="36"/>
  <c r="L92" i="36"/>
  <c r="H92" i="36"/>
  <c r="N92" i="36" s="1"/>
  <c r="D92" i="36"/>
  <c r="B92" i="36"/>
  <c r="X91" i="36"/>
  <c r="Z91" i="36" s="1"/>
  <c r="L91" i="36"/>
  <c r="N91" i="36" s="1"/>
  <c r="B91" i="36"/>
  <c r="X90" i="36"/>
  <c r="T90" i="36"/>
  <c r="P90" i="36"/>
  <c r="H90" i="36"/>
  <c r="D90" i="36"/>
  <c r="B90" i="36"/>
  <c r="Z89" i="36"/>
  <c r="X89" i="36"/>
  <c r="N89" i="36"/>
  <c r="L89" i="36"/>
  <c r="B89" i="36"/>
  <c r="Z88" i="36"/>
  <c r="X88" i="36"/>
  <c r="N88" i="36"/>
  <c r="L88" i="36"/>
  <c r="B88" i="36"/>
  <c r="X87" i="36"/>
  <c r="Z87" i="36" s="1"/>
  <c r="N87" i="36"/>
  <c r="L87" i="36"/>
  <c r="B87" i="36"/>
  <c r="X86" i="36"/>
  <c r="Z86" i="36" s="1"/>
  <c r="L86" i="36"/>
  <c r="N86" i="36" s="1"/>
  <c r="B86" i="36"/>
  <c r="X85" i="36"/>
  <c r="Z85" i="36" s="1"/>
  <c r="N85" i="36"/>
  <c r="L85" i="36"/>
  <c r="B85" i="36"/>
  <c r="T84" i="36"/>
  <c r="P84" i="36"/>
  <c r="L84" i="36"/>
  <c r="N84" i="36" s="1"/>
  <c r="H84" i="36"/>
  <c r="D84" i="36"/>
  <c r="B84" i="36"/>
  <c r="Z83" i="36"/>
  <c r="X83" i="36"/>
  <c r="N83" i="36"/>
  <c r="L83" i="36"/>
  <c r="B83" i="36"/>
  <c r="Z82" i="36"/>
  <c r="X82" i="36"/>
  <c r="N82" i="36"/>
  <c r="L82" i="36"/>
  <c r="B82" i="36"/>
  <c r="T81" i="36"/>
  <c r="Z81" i="36" s="1"/>
  <c r="P81" i="36"/>
  <c r="H81" i="36"/>
  <c r="N81" i="36" s="1"/>
  <c r="D81" i="36"/>
  <c r="L81" i="36" s="1"/>
  <c r="B81" i="36"/>
  <c r="X80" i="36"/>
  <c r="Z80" i="36" s="1"/>
  <c r="N80" i="36"/>
  <c r="L80" i="36"/>
  <c r="B80" i="36"/>
  <c r="X79" i="36"/>
  <c r="Z79" i="36" s="1"/>
  <c r="L79" i="36"/>
  <c r="N79" i="36" s="1"/>
  <c r="B79" i="36"/>
  <c r="X78" i="36"/>
  <c r="Z78" i="36" s="1"/>
  <c r="N78" i="36"/>
  <c r="L78" i="36"/>
  <c r="B78" i="36"/>
  <c r="T77" i="36"/>
  <c r="P77" i="36"/>
  <c r="X77" i="36" s="1"/>
  <c r="Z77" i="36" s="1"/>
  <c r="L77" i="36"/>
  <c r="N77" i="36" s="1"/>
  <c r="H77" i="36"/>
  <c r="D77" i="36"/>
  <c r="B77" i="36"/>
  <c r="Z76" i="36"/>
  <c r="X76" i="36"/>
  <c r="L76" i="36"/>
  <c r="N76" i="36" s="1"/>
  <c r="B76" i="36"/>
  <c r="T75" i="36"/>
  <c r="P75" i="36"/>
  <c r="L75" i="36"/>
  <c r="H75" i="36"/>
  <c r="N75" i="36" s="1"/>
  <c r="D75" i="36"/>
  <c r="B75" i="36"/>
  <c r="X74" i="36"/>
  <c r="Z74" i="36" s="1"/>
  <c r="L74" i="36"/>
  <c r="N74" i="36" s="1"/>
  <c r="B74" i="36"/>
  <c r="Z73" i="36"/>
  <c r="T73" i="36"/>
  <c r="P73" i="36"/>
  <c r="X73" i="36" s="1"/>
  <c r="H73" i="36"/>
  <c r="D73" i="36"/>
  <c r="B73" i="36"/>
  <c r="X72" i="36"/>
  <c r="Z72" i="36" s="1"/>
  <c r="L72" i="36"/>
  <c r="N72" i="36" s="1"/>
  <c r="B72" i="36"/>
  <c r="T71" i="36"/>
  <c r="P71" i="36"/>
  <c r="X71" i="36" s="1"/>
  <c r="Z71" i="36" s="1"/>
  <c r="L71" i="36"/>
  <c r="N71" i="36" s="1"/>
  <c r="H71" i="36"/>
  <c r="D71" i="36"/>
  <c r="B71" i="36"/>
  <c r="Z70" i="36"/>
  <c r="X70" i="36"/>
  <c r="L70" i="36"/>
  <c r="N70" i="36" s="1"/>
  <c r="B70" i="36"/>
  <c r="T69" i="36"/>
  <c r="P69" i="36"/>
  <c r="L69" i="36"/>
  <c r="H69" i="36"/>
  <c r="N69" i="36" s="1"/>
  <c r="D69" i="36"/>
  <c r="B69" i="36"/>
  <c r="X68" i="36"/>
  <c r="Z68" i="36" s="1"/>
  <c r="L68" i="36"/>
  <c r="N68" i="36" s="1"/>
  <c r="B68" i="36"/>
  <c r="Z67" i="36"/>
  <c r="T67" i="36"/>
  <c r="P67" i="36"/>
  <c r="X67" i="36" s="1"/>
  <c r="H67" i="36"/>
  <c r="D67" i="36"/>
  <c r="B67" i="36"/>
  <c r="X66" i="36"/>
  <c r="Z66" i="36" s="1"/>
  <c r="L66" i="36"/>
  <c r="N66" i="36" s="1"/>
  <c r="B66" i="36"/>
  <c r="T65" i="36"/>
  <c r="P65" i="36"/>
  <c r="X65" i="36" s="1"/>
  <c r="Z65" i="36" s="1"/>
  <c r="L65" i="36"/>
  <c r="N65" i="36" s="1"/>
  <c r="H65" i="36"/>
  <c r="D65" i="36"/>
  <c r="B65" i="36"/>
  <c r="Z64" i="36"/>
  <c r="X64" i="36"/>
  <c r="L64" i="36"/>
  <c r="N64" i="36" s="1"/>
  <c r="B64" i="36"/>
  <c r="T63" i="36"/>
  <c r="P63" i="36"/>
  <c r="L63" i="36"/>
  <c r="H63" i="36"/>
  <c r="N63" i="36" s="1"/>
  <c r="D63" i="36"/>
  <c r="B63" i="36"/>
  <c r="X62" i="36"/>
  <c r="Z62" i="36" s="1"/>
  <c r="L62" i="36"/>
  <c r="N62" i="36" s="1"/>
  <c r="B62" i="36"/>
  <c r="Z61" i="36"/>
  <c r="T61" i="36"/>
  <c r="P61" i="36"/>
  <c r="X61" i="36" s="1"/>
  <c r="H61" i="36"/>
  <c r="D61" i="36"/>
  <c r="B61" i="36"/>
  <c r="X60" i="36"/>
  <c r="Z60" i="36" s="1"/>
  <c r="L60" i="36"/>
  <c r="N60" i="36" s="1"/>
  <c r="B60" i="36"/>
  <c r="X59" i="36"/>
  <c r="Z59" i="36" s="1"/>
  <c r="L59" i="36"/>
  <c r="N59" i="36" s="1"/>
  <c r="B59" i="36"/>
  <c r="Z58" i="36"/>
  <c r="X58" i="36"/>
  <c r="N58" i="36"/>
  <c r="L58" i="36"/>
  <c r="B58" i="36"/>
  <c r="X57" i="36"/>
  <c r="Z57" i="36" s="1"/>
  <c r="T57" i="36"/>
  <c r="P57" i="36"/>
  <c r="L57" i="36"/>
  <c r="N57" i="36" s="1"/>
  <c r="H57" i="36"/>
  <c r="D57" i="36"/>
  <c r="B57" i="36"/>
  <c r="Z56" i="36"/>
  <c r="X56" i="36"/>
  <c r="L56" i="36"/>
  <c r="N56" i="36" s="1"/>
  <c r="B56" i="36"/>
  <c r="T55" i="36"/>
  <c r="P55" i="36"/>
  <c r="H55" i="36"/>
  <c r="L55" i="36" s="1"/>
  <c r="N55" i="36" s="1"/>
  <c r="D55" i="36"/>
  <c r="B55" i="36"/>
  <c r="X54" i="36"/>
  <c r="Z54" i="36" s="1"/>
  <c r="L54" i="36"/>
  <c r="N54" i="36" s="1"/>
  <c r="B54" i="36"/>
  <c r="T53" i="36"/>
  <c r="P53" i="36"/>
  <c r="H53" i="36"/>
  <c r="D53" i="36"/>
  <c r="B53" i="36"/>
  <c r="X52" i="36"/>
  <c r="Z52" i="36" s="1"/>
  <c r="L52" i="36"/>
  <c r="N52" i="36" s="1"/>
  <c r="B52" i="36"/>
  <c r="X51" i="36"/>
  <c r="Z51" i="36" s="1"/>
  <c r="T51" i="36"/>
  <c r="P51" i="36"/>
  <c r="H51" i="36"/>
  <c r="D51" i="36"/>
  <c r="B51" i="36"/>
  <c r="Z50" i="36"/>
  <c r="X50" i="36"/>
  <c r="N50" i="36"/>
  <c r="L50" i="36"/>
  <c r="B50" i="36"/>
  <c r="Z49" i="36"/>
  <c r="X49" i="36"/>
  <c r="N49" i="36"/>
  <c r="L49" i="36"/>
  <c r="B49" i="36"/>
  <c r="X48" i="36"/>
  <c r="Z48" i="36" s="1"/>
  <c r="L48" i="36"/>
  <c r="N48" i="36" s="1"/>
  <c r="B48" i="36"/>
  <c r="X47" i="36"/>
  <c r="Z47" i="36" s="1"/>
  <c r="L47" i="36"/>
  <c r="N47" i="36" s="1"/>
  <c r="B47" i="36"/>
  <c r="Z46" i="36"/>
  <c r="X46" i="36"/>
  <c r="N46" i="36"/>
  <c r="L46" i="36"/>
  <c r="B46" i="36"/>
  <c r="X45" i="36"/>
  <c r="Z45" i="36" s="1"/>
  <c r="L45" i="36"/>
  <c r="N45" i="36" s="1"/>
  <c r="B45" i="36"/>
  <c r="X44" i="36"/>
  <c r="Z44" i="36" s="1"/>
  <c r="L44" i="36"/>
  <c r="N44" i="36" s="1"/>
  <c r="B44" i="36"/>
  <c r="Z43" i="36"/>
  <c r="X43" i="36"/>
  <c r="N43" i="36"/>
  <c r="L43" i="36"/>
  <c r="B43" i="36"/>
  <c r="Z42" i="36"/>
  <c r="X42" i="36"/>
  <c r="L42" i="36"/>
  <c r="N42" i="36" s="1"/>
  <c r="B42" i="36"/>
  <c r="X41" i="36"/>
  <c r="Z41" i="36" s="1"/>
  <c r="L41" i="36"/>
  <c r="N41" i="36" s="1"/>
  <c r="B41" i="36"/>
  <c r="T40" i="36"/>
  <c r="P40" i="36"/>
  <c r="X40" i="36" s="1"/>
  <c r="Z40" i="36" s="1"/>
  <c r="H40" i="36"/>
  <c r="D40" i="36"/>
  <c r="L40" i="36" s="1"/>
  <c r="N40" i="36" s="1"/>
  <c r="B40" i="36"/>
  <c r="X39" i="36"/>
  <c r="Z39" i="36" s="1"/>
  <c r="N39" i="36"/>
  <c r="L39" i="36"/>
  <c r="B39" i="36"/>
  <c r="X38" i="36"/>
  <c r="Z38" i="36" s="1"/>
  <c r="N38" i="36"/>
  <c r="L38" i="36"/>
  <c r="B38" i="36"/>
  <c r="X37" i="36"/>
  <c r="Z37" i="36" s="1"/>
  <c r="L37" i="36"/>
  <c r="N37" i="36" s="1"/>
  <c r="B37" i="36"/>
  <c r="Z36" i="36"/>
  <c r="X36" i="36"/>
  <c r="V36" i="36"/>
  <c r="N36" i="36"/>
  <c r="L36" i="36"/>
  <c r="B36" i="36"/>
  <c r="Z35" i="36"/>
  <c r="X35" i="36"/>
  <c r="N35" i="36"/>
  <c r="L35" i="36"/>
  <c r="B35" i="36"/>
  <c r="X34" i="36"/>
  <c r="Z34" i="36" s="1"/>
  <c r="N34" i="36"/>
  <c r="L34" i="36"/>
  <c r="B34" i="36"/>
  <c r="X33" i="36"/>
  <c r="Z33" i="36" s="1"/>
  <c r="L33" i="36"/>
  <c r="N33" i="36" s="1"/>
  <c r="B33" i="36"/>
  <c r="X32" i="36"/>
  <c r="Z32" i="36" s="1"/>
  <c r="V32" i="36"/>
  <c r="N32" i="36"/>
  <c r="L32" i="36"/>
  <c r="B32" i="36"/>
  <c r="X31" i="36"/>
  <c r="Z31" i="36" s="1"/>
  <c r="L31" i="36"/>
  <c r="N31" i="36" s="1"/>
  <c r="B31" i="36"/>
  <c r="X30" i="36"/>
  <c r="Z30" i="36" s="1"/>
  <c r="N30" i="36"/>
  <c r="L30" i="36"/>
  <c r="B30" i="36"/>
  <c r="X29" i="36"/>
  <c r="Z29" i="36" s="1"/>
  <c r="T29" i="36"/>
  <c r="P29" i="36"/>
  <c r="H29" i="36"/>
  <c r="D29" i="36"/>
  <c r="L29" i="36" s="1"/>
  <c r="N29" i="36" s="1"/>
  <c r="B29" i="36"/>
  <c r="T28" i="36"/>
  <c r="P28" i="36"/>
  <c r="X28" i="36" s="1"/>
  <c r="H28" i="36"/>
  <c r="D28" i="36"/>
  <c r="L28" i="36" s="1"/>
  <c r="T26" i="36"/>
  <c r="T120" i="36" s="1"/>
  <c r="H26" i="36"/>
  <c r="H120" i="36" s="1"/>
  <c r="Z24" i="36"/>
  <c r="X24" i="36"/>
  <c r="N24" i="36"/>
  <c r="L24" i="36"/>
  <c r="B24" i="36"/>
  <c r="Z23" i="36"/>
  <c r="X23" i="36"/>
  <c r="V23" i="36"/>
  <c r="N23" i="36"/>
  <c r="L23" i="36"/>
  <c r="B23" i="36"/>
  <c r="Z22" i="36"/>
  <c r="X22" i="36"/>
  <c r="N22" i="36"/>
  <c r="L22" i="36"/>
  <c r="B22" i="36"/>
  <c r="V21" i="36"/>
  <c r="T21" i="36"/>
  <c r="X21" i="36" s="1"/>
  <c r="Z21" i="36" s="1"/>
  <c r="P21" i="36"/>
  <c r="N21" i="36"/>
  <c r="L21" i="36"/>
  <c r="H21" i="36"/>
  <c r="D21" i="36"/>
  <c r="Z19" i="36"/>
  <c r="P19" i="36"/>
  <c r="X19" i="36" s="1"/>
  <c r="N19" i="36"/>
  <c r="D19" i="36"/>
  <c r="L19" i="36" s="1"/>
  <c r="B19" i="36"/>
  <c r="Z18" i="36"/>
  <c r="X18" i="36"/>
  <c r="P18" i="36"/>
  <c r="N18" i="36"/>
  <c r="D18" i="36"/>
  <c r="L18" i="36" s="1"/>
  <c r="B18" i="36"/>
  <c r="Z17" i="36"/>
  <c r="X17" i="36"/>
  <c r="P17" i="36"/>
  <c r="L17" i="36"/>
  <c r="N17" i="36" s="1"/>
  <c r="D17" i="36"/>
  <c r="D12" i="36" s="1"/>
  <c r="B17" i="36"/>
  <c r="Z16" i="36"/>
  <c r="P16" i="36"/>
  <c r="X16" i="36" s="1"/>
  <c r="N16" i="36"/>
  <c r="D16" i="36"/>
  <c r="L16" i="36" s="1"/>
  <c r="B16" i="36"/>
  <c r="Z15" i="36"/>
  <c r="P15" i="36"/>
  <c r="X15" i="36" s="1"/>
  <c r="N15" i="36"/>
  <c r="L15" i="36"/>
  <c r="D15" i="36"/>
  <c r="B15" i="36"/>
  <c r="Z14" i="36"/>
  <c r="X14" i="36"/>
  <c r="P14" i="36"/>
  <c r="N14" i="36"/>
  <c r="L14" i="36"/>
  <c r="D14" i="36"/>
  <c r="B14" i="36"/>
  <c r="Z13" i="36"/>
  <c r="X13" i="36"/>
  <c r="P13" i="36"/>
  <c r="P12" i="36" s="1"/>
  <c r="D13" i="36"/>
  <c r="L13" i="36" s="1"/>
  <c r="N13" i="36" s="1"/>
  <c r="B13" i="36"/>
  <c r="T12" i="36"/>
  <c r="H12" i="36"/>
  <c r="J117" i="36" s="1"/>
  <c r="D4" i="36"/>
  <c r="Z80" i="33"/>
  <c r="X80" i="33"/>
  <c r="V80" i="33"/>
  <c r="L80" i="33"/>
  <c r="N80" i="33" s="1"/>
  <c r="P76" i="33"/>
  <c r="X76" i="33" s="1"/>
  <c r="Z76" i="33" s="1"/>
  <c r="L76" i="33"/>
  <c r="N76" i="33" s="1"/>
  <c r="D76" i="33"/>
  <c r="B76" i="33"/>
  <c r="V75" i="33"/>
  <c r="T75" i="33"/>
  <c r="P75" i="33"/>
  <c r="X75" i="33" s="1"/>
  <c r="Z75" i="33" s="1"/>
  <c r="H75" i="33"/>
  <c r="D75" i="33"/>
  <c r="L75" i="33" s="1"/>
  <c r="N75" i="33" s="1"/>
  <c r="Z73" i="33"/>
  <c r="X73" i="33"/>
  <c r="V73" i="33"/>
  <c r="N73" i="33"/>
  <c r="L73" i="33"/>
  <c r="B73" i="33"/>
  <c r="V72" i="33"/>
  <c r="T72" i="33"/>
  <c r="Z72" i="33" s="1"/>
  <c r="P72" i="33"/>
  <c r="X72" i="33" s="1"/>
  <c r="H72" i="33"/>
  <c r="N72" i="33" s="1"/>
  <c r="D72" i="33"/>
  <c r="L72" i="33" s="1"/>
  <c r="B72" i="33"/>
  <c r="X71" i="33"/>
  <c r="Z71" i="33" s="1"/>
  <c r="V71" i="33"/>
  <c r="N71" i="33"/>
  <c r="L71" i="33"/>
  <c r="B71" i="33"/>
  <c r="T70" i="33"/>
  <c r="P70" i="33"/>
  <c r="X70" i="33" s="1"/>
  <c r="Z70" i="33" s="1"/>
  <c r="H70" i="33"/>
  <c r="D70" i="33"/>
  <c r="L70" i="33" s="1"/>
  <c r="N70" i="33" s="1"/>
  <c r="B70" i="33"/>
  <c r="Z69" i="33"/>
  <c r="X69" i="33"/>
  <c r="V69" i="33"/>
  <c r="N69" i="33"/>
  <c r="L69" i="33"/>
  <c r="B69" i="33"/>
  <c r="Z68" i="33"/>
  <c r="X68" i="33"/>
  <c r="V68" i="33"/>
  <c r="L68" i="33"/>
  <c r="N68" i="33" s="1"/>
  <c r="B68" i="33"/>
  <c r="Z67" i="33"/>
  <c r="X67" i="33"/>
  <c r="V67" i="33"/>
  <c r="L67" i="33"/>
  <c r="N67" i="33" s="1"/>
  <c r="B67" i="33"/>
  <c r="Z66" i="33"/>
  <c r="X66" i="33"/>
  <c r="V66" i="33"/>
  <c r="N66" i="33"/>
  <c r="L66" i="33"/>
  <c r="B66" i="33"/>
  <c r="T65" i="33"/>
  <c r="V65" i="33" s="1"/>
  <c r="P65" i="33"/>
  <c r="X65" i="33" s="1"/>
  <c r="H65" i="33"/>
  <c r="D65" i="33"/>
  <c r="L65" i="33" s="1"/>
  <c r="B65" i="33"/>
  <c r="X64" i="33"/>
  <c r="Z64" i="33" s="1"/>
  <c r="V64" i="33"/>
  <c r="N64" i="33"/>
  <c r="L64" i="33"/>
  <c r="B64" i="33"/>
  <c r="V63" i="33"/>
  <c r="T63" i="33"/>
  <c r="P63" i="33"/>
  <c r="X63" i="33" s="1"/>
  <c r="Z63" i="33" s="1"/>
  <c r="H63" i="33"/>
  <c r="D63" i="33"/>
  <c r="L63" i="33" s="1"/>
  <c r="N63" i="33" s="1"/>
  <c r="B63" i="33"/>
  <c r="Z62" i="33"/>
  <c r="X62" i="33"/>
  <c r="N62" i="33"/>
  <c r="L62" i="33"/>
  <c r="B62" i="33"/>
  <c r="X61" i="33"/>
  <c r="T61" i="33"/>
  <c r="Z61" i="33" s="1"/>
  <c r="P61" i="33"/>
  <c r="L61" i="33"/>
  <c r="H61" i="33"/>
  <c r="N61" i="33" s="1"/>
  <c r="D61" i="33"/>
  <c r="B61" i="33"/>
  <c r="Z60" i="33"/>
  <c r="X60" i="33"/>
  <c r="V60" i="33"/>
  <c r="L60" i="33"/>
  <c r="N60" i="33" s="1"/>
  <c r="B60" i="33"/>
  <c r="Z59" i="33"/>
  <c r="X59" i="33"/>
  <c r="V59" i="33"/>
  <c r="L59" i="33"/>
  <c r="N59" i="33" s="1"/>
  <c r="B59" i="33"/>
  <c r="Z58" i="33"/>
  <c r="X58" i="33"/>
  <c r="V58" i="33"/>
  <c r="T58" i="33"/>
  <c r="P58" i="33"/>
  <c r="N58" i="33"/>
  <c r="L58" i="33"/>
  <c r="H58" i="33"/>
  <c r="D58" i="33"/>
  <c r="B58" i="33"/>
  <c r="Z57" i="33"/>
  <c r="X57" i="33"/>
  <c r="V57" i="33"/>
  <c r="L57" i="33"/>
  <c r="N57" i="33" s="1"/>
  <c r="B57" i="33"/>
  <c r="V56" i="33"/>
  <c r="T56" i="33"/>
  <c r="P56" i="33"/>
  <c r="X56" i="33" s="1"/>
  <c r="H56" i="33"/>
  <c r="D56" i="33"/>
  <c r="L56" i="33" s="1"/>
  <c r="B56" i="33"/>
  <c r="X55" i="33"/>
  <c r="Z55" i="33" s="1"/>
  <c r="V55" i="33"/>
  <c r="N55" i="33"/>
  <c r="L55" i="33"/>
  <c r="B55" i="33"/>
  <c r="T54" i="33"/>
  <c r="P54" i="33"/>
  <c r="X54" i="33" s="1"/>
  <c r="Z54" i="33" s="1"/>
  <c r="H54" i="33"/>
  <c r="D54" i="33"/>
  <c r="L54" i="33" s="1"/>
  <c r="N54" i="33" s="1"/>
  <c r="B54" i="33"/>
  <c r="Z53" i="33"/>
  <c r="X53" i="33"/>
  <c r="V53" i="33"/>
  <c r="N53" i="33"/>
  <c r="L53" i="33"/>
  <c r="B53" i="33"/>
  <c r="Z52" i="33"/>
  <c r="X52" i="33"/>
  <c r="V52" i="33"/>
  <c r="T52" i="33"/>
  <c r="P52" i="33"/>
  <c r="N52" i="33"/>
  <c r="L52" i="33"/>
  <c r="H52" i="33"/>
  <c r="D52" i="33"/>
  <c r="B52" i="33"/>
  <c r="X51" i="33"/>
  <c r="Z51" i="33" s="1"/>
  <c r="V51" i="33"/>
  <c r="L51" i="33"/>
  <c r="N51" i="33" s="1"/>
  <c r="B51" i="33"/>
  <c r="V50" i="33"/>
  <c r="T50" i="33"/>
  <c r="P50" i="33"/>
  <c r="X50" i="33" s="1"/>
  <c r="J50" i="33"/>
  <c r="H50" i="33"/>
  <c r="N50" i="33" s="1"/>
  <c r="D50" i="33"/>
  <c r="L50" i="33" s="1"/>
  <c r="B50" i="33"/>
  <c r="Z49" i="33"/>
  <c r="X49" i="33"/>
  <c r="V49" i="33"/>
  <c r="N49" i="33"/>
  <c r="L49" i="33"/>
  <c r="B49" i="33"/>
  <c r="Z48" i="33"/>
  <c r="X48" i="33"/>
  <c r="N48" i="33"/>
  <c r="L48" i="33"/>
  <c r="B48" i="33"/>
  <c r="Z47" i="33"/>
  <c r="X47" i="33"/>
  <c r="V47" i="33"/>
  <c r="N47" i="33"/>
  <c r="L47" i="33"/>
  <c r="B47" i="33"/>
  <c r="Z46" i="33"/>
  <c r="X46" i="33"/>
  <c r="N46" i="33"/>
  <c r="L46" i="33"/>
  <c r="B46" i="33"/>
  <c r="Z45" i="33"/>
  <c r="X45" i="33"/>
  <c r="V45" i="33"/>
  <c r="N45" i="33"/>
  <c r="L45" i="33"/>
  <c r="B45" i="33"/>
  <c r="Z44" i="33"/>
  <c r="X44" i="33"/>
  <c r="N44" i="33"/>
  <c r="L44" i="33"/>
  <c r="B44" i="33"/>
  <c r="Z43" i="33"/>
  <c r="X43" i="33"/>
  <c r="V43" i="33"/>
  <c r="N43" i="33"/>
  <c r="L43" i="33"/>
  <c r="B43" i="33"/>
  <c r="Z42" i="33"/>
  <c r="X42" i="33"/>
  <c r="N42" i="33"/>
  <c r="L42" i="33"/>
  <c r="B42" i="33"/>
  <c r="X41" i="33"/>
  <c r="Z41" i="33" s="1"/>
  <c r="V41" i="33"/>
  <c r="N41" i="33"/>
  <c r="L41" i="33"/>
  <c r="B41" i="33"/>
  <c r="Z40" i="33"/>
  <c r="X40" i="33"/>
  <c r="N40" i="33"/>
  <c r="L40" i="33"/>
  <c r="B40" i="33"/>
  <c r="X39" i="33"/>
  <c r="V39" i="33"/>
  <c r="T39" i="33"/>
  <c r="Z39" i="33" s="1"/>
  <c r="P39" i="33"/>
  <c r="L39" i="33"/>
  <c r="H39" i="33"/>
  <c r="N39" i="33" s="1"/>
  <c r="D39" i="33"/>
  <c r="B39" i="33"/>
  <c r="Z38" i="33"/>
  <c r="X38" i="33"/>
  <c r="V38" i="33"/>
  <c r="N38" i="33"/>
  <c r="L38" i="33"/>
  <c r="B38" i="33"/>
  <c r="Z37" i="33"/>
  <c r="X37" i="33"/>
  <c r="V37" i="33"/>
  <c r="N37" i="33"/>
  <c r="L37" i="33"/>
  <c r="B37" i="33"/>
  <c r="Z36" i="33"/>
  <c r="X36" i="33"/>
  <c r="V36" i="33"/>
  <c r="L36" i="33"/>
  <c r="N36" i="33" s="1"/>
  <c r="J36" i="33"/>
  <c r="B36" i="33"/>
  <c r="Z35" i="33"/>
  <c r="X35" i="33"/>
  <c r="V35" i="33"/>
  <c r="N35" i="33"/>
  <c r="L35" i="33"/>
  <c r="B35" i="33"/>
  <c r="Z34" i="33"/>
  <c r="X34" i="33"/>
  <c r="V34" i="33"/>
  <c r="L34" i="33"/>
  <c r="N34" i="33" s="1"/>
  <c r="B34" i="33"/>
  <c r="Z33" i="33"/>
  <c r="X33" i="33"/>
  <c r="V33" i="33"/>
  <c r="N33" i="33"/>
  <c r="L33" i="33"/>
  <c r="B33" i="33"/>
  <c r="Z32" i="33"/>
  <c r="X32" i="33"/>
  <c r="V32" i="33"/>
  <c r="L32" i="33"/>
  <c r="N32" i="33" s="1"/>
  <c r="J32" i="33"/>
  <c r="B32" i="33"/>
  <c r="Z31" i="33"/>
  <c r="X31" i="33"/>
  <c r="V31" i="33"/>
  <c r="L31" i="33"/>
  <c r="N31" i="33" s="1"/>
  <c r="B31" i="33"/>
  <c r="Z30" i="33"/>
  <c r="X30" i="33"/>
  <c r="V30" i="33"/>
  <c r="L30" i="33"/>
  <c r="N30" i="33" s="1"/>
  <c r="B30" i="33"/>
  <c r="T29" i="33"/>
  <c r="V29" i="33" s="1"/>
  <c r="P29" i="33"/>
  <c r="X29" i="33" s="1"/>
  <c r="H29" i="33"/>
  <c r="D29" i="33"/>
  <c r="L29" i="33" s="1"/>
  <c r="B29" i="33"/>
  <c r="V28" i="33"/>
  <c r="T28" i="33"/>
  <c r="P28" i="33"/>
  <c r="X28" i="33" s="1"/>
  <c r="H28" i="33"/>
  <c r="N28" i="33" s="1"/>
  <c r="D28" i="33"/>
  <c r="L28" i="33" s="1"/>
  <c r="V24" i="33"/>
  <c r="T24" i="33"/>
  <c r="T26" i="33" s="1"/>
  <c r="P24" i="33"/>
  <c r="X24" i="33" s="1"/>
  <c r="H24" i="33"/>
  <c r="N24" i="33" s="1"/>
  <c r="D24" i="33"/>
  <c r="L24" i="33" s="1"/>
  <c r="Z22" i="33"/>
  <c r="P22" i="33"/>
  <c r="X22" i="33" s="1"/>
  <c r="N22" i="33"/>
  <c r="D22" i="33"/>
  <c r="L22" i="33" s="1"/>
  <c r="B22" i="33"/>
  <c r="Z21" i="33"/>
  <c r="P21" i="33"/>
  <c r="X21" i="33" s="1"/>
  <c r="N21" i="33"/>
  <c r="L21" i="33"/>
  <c r="D21" i="33"/>
  <c r="B21" i="33"/>
  <c r="Z20" i="33"/>
  <c r="X20" i="33"/>
  <c r="P20" i="33"/>
  <c r="N20" i="33"/>
  <c r="D20" i="33"/>
  <c r="L20" i="33" s="1"/>
  <c r="B20" i="33"/>
  <c r="Z19" i="33"/>
  <c r="P19" i="33"/>
  <c r="X19" i="33" s="1"/>
  <c r="N19" i="33"/>
  <c r="D19" i="33"/>
  <c r="L19" i="33" s="1"/>
  <c r="B19" i="33"/>
  <c r="Z18" i="33"/>
  <c r="X18" i="33"/>
  <c r="P18" i="33"/>
  <c r="N18" i="33"/>
  <c r="D18" i="33"/>
  <c r="L18" i="33" s="1"/>
  <c r="B18" i="33"/>
  <c r="P17" i="33"/>
  <c r="X17" i="33" s="1"/>
  <c r="Z17" i="33" s="1"/>
  <c r="N17" i="33"/>
  <c r="L17" i="33"/>
  <c r="D17" i="33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L15" i="33"/>
  <c r="D15" i="33"/>
  <c r="B15" i="33"/>
  <c r="Z14" i="33"/>
  <c r="X14" i="33"/>
  <c r="P14" i="33"/>
  <c r="N14" i="33"/>
  <c r="D14" i="33"/>
  <c r="L14" i="33" s="1"/>
  <c r="B14" i="33"/>
  <c r="P13" i="33"/>
  <c r="P12" i="33" s="1"/>
  <c r="D13" i="33"/>
  <c r="L13" i="33" s="1"/>
  <c r="N13" i="33" s="1"/>
  <c r="B13" i="33"/>
  <c r="T12" i="33"/>
  <c r="H12" i="33"/>
  <c r="J49" i="33" s="1"/>
  <c r="D4" i="33"/>
  <c r="Z155" i="30"/>
  <c r="X155" i="30"/>
  <c r="L155" i="30"/>
  <c r="N155" i="30" s="1"/>
  <c r="Z151" i="30"/>
  <c r="P151" i="30"/>
  <c r="X151" i="30" s="1"/>
  <c r="N151" i="30"/>
  <c r="L151" i="30"/>
  <c r="D151" i="30"/>
  <c r="D148" i="30" s="1"/>
  <c r="B151" i="30"/>
  <c r="Z150" i="30"/>
  <c r="P150" i="30"/>
  <c r="P148" i="30" s="1"/>
  <c r="N150" i="30"/>
  <c r="L150" i="30"/>
  <c r="D150" i="30"/>
  <c r="B150" i="30"/>
  <c r="Z149" i="30"/>
  <c r="X149" i="30"/>
  <c r="P149" i="30"/>
  <c r="N149" i="30"/>
  <c r="L149" i="30"/>
  <c r="D149" i="30"/>
  <c r="B149" i="30"/>
  <c r="X148" i="30"/>
  <c r="T148" i="30"/>
  <c r="Z148" i="30" s="1"/>
  <c r="H148" i="30"/>
  <c r="L148" i="30" s="1"/>
  <c r="Z146" i="30"/>
  <c r="X146" i="30"/>
  <c r="L146" i="30"/>
  <c r="N146" i="30" s="1"/>
  <c r="B146" i="30"/>
  <c r="T145" i="30"/>
  <c r="Z145" i="30" s="1"/>
  <c r="P145" i="30"/>
  <c r="X145" i="30" s="1"/>
  <c r="H145" i="30"/>
  <c r="D145" i="30"/>
  <c r="B145" i="30"/>
  <c r="X144" i="30"/>
  <c r="Z144" i="30" s="1"/>
  <c r="L144" i="30"/>
  <c r="N144" i="30" s="1"/>
  <c r="B144" i="30"/>
  <c r="X143" i="30"/>
  <c r="Z143" i="30" s="1"/>
  <c r="L143" i="30"/>
  <c r="N143" i="30" s="1"/>
  <c r="B143" i="30"/>
  <c r="T142" i="30"/>
  <c r="P142" i="30"/>
  <c r="H142" i="30"/>
  <c r="D142" i="30"/>
  <c r="L142" i="30" s="1"/>
  <c r="B142" i="30"/>
  <c r="Z141" i="30"/>
  <c r="X141" i="30"/>
  <c r="N141" i="30"/>
  <c r="L141" i="30"/>
  <c r="B141" i="30"/>
  <c r="Z140" i="30"/>
  <c r="X140" i="30"/>
  <c r="T140" i="30"/>
  <c r="P140" i="30"/>
  <c r="N140" i="30"/>
  <c r="L140" i="30"/>
  <c r="H140" i="30"/>
  <c r="D140" i="30"/>
  <c r="B140" i="30"/>
  <c r="Z139" i="30"/>
  <c r="X139" i="30"/>
  <c r="N139" i="30"/>
  <c r="L139" i="30"/>
  <c r="B139" i="30"/>
  <c r="Z138" i="30"/>
  <c r="X138" i="30"/>
  <c r="L138" i="30"/>
  <c r="N138" i="30" s="1"/>
  <c r="B138" i="30"/>
  <c r="T137" i="30"/>
  <c r="P137" i="30"/>
  <c r="X137" i="30" s="1"/>
  <c r="Z137" i="30" s="1"/>
  <c r="H137" i="30"/>
  <c r="D137" i="30"/>
  <c r="B137" i="30"/>
  <c r="X136" i="30"/>
  <c r="Z136" i="30" s="1"/>
  <c r="N136" i="30"/>
  <c r="L136" i="30"/>
  <c r="B136" i="30"/>
  <c r="X135" i="30"/>
  <c r="Z135" i="30" s="1"/>
  <c r="L135" i="30"/>
  <c r="N135" i="30" s="1"/>
  <c r="B135" i="30"/>
  <c r="X134" i="30"/>
  <c r="Z134" i="30" s="1"/>
  <c r="N134" i="30"/>
  <c r="L134" i="30"/>
  <c r="B134" i="30"/>
  <c r="Z133" i="30"/>
  <c r="X133" i="30"/>
  <c r="L133" i="30"/>
  <c r="N133" i="30" s="1"/>
  <c r="B133" i="30"/>
  <c r="X132" i="30"/>
  <c r="Z132" i="30" s="1"/>
  <c r="L132" i="30"/>
  <c r="N132" i="30" s="1"/>
  <c r="B132" i="30"/>
  <c r="X131" i="30"/>
  <c r="Z131" i="30" s="1"/>
  <c r="L131" i="30"/>
  <c r="N131" i="30" s="1"/>
  <c r="B131" i="30"/>
  <c r="X130" i="30"/>
  <c r="Z130" i="30" s="1"/>
  <c r="N130" i="30"/>
  <c r="L130" i="30"/>
  <c r="B130" i="30"/>
  <c r="Z129" i="30"/>
  <c r="X129" i="30"/>
  <c r="L129" i="30"/>
  <c r="N129" i="30" s="1"/>
  <c r="B129" i="30"/>
  <c r="T128" i="30"/>
  <c r="P128" i="30"/>
  <c r="X128" i="30" s="1"/>
  <c r="H128" i="30"/>
  <c r="D128" i="30"/>
  <c r="B128" i="30"/>
  <c r="Z127" i="30"/>
  <c r="X127" i="30"/>
  <c r="N127" i="30"/>
  <c r="L127" i="30"/>
  <c r="B127" i="30"/>
  <c r="Z126" i="30"/>
  <c r="X126" i="30"/>
  <c r="N126" i="30"/>
  <c r="L126" i="30"/>
  <c r="B126" i="30"/>
  <c r="T125" i="30"/>
  <c r="P125" i="30"/>
  <c r="L125" i="30"/>
  <c r="H125" i="30"/>
  <c r="N125" i="30" s="1"/>
  <c r="D125" i="30"/>
  <c r="B125" i="30"/>
  <c r="Z124" i="30"/>
  <c r="X124" i="30"/>
  <c r="L124" i="30"/>
  <c r="N124" i="30" s="1"/>
  <c r="J124" i="30"/>
  <c r="B124" i="30"/>
  <c r="Z123" i="30"/>
  <c r="X123" i="30"/>
  <c r="N123" i="30"/>
  <c r="L123" i="30"/>
  <c r="B123" i="30"/>
  <c r="Z122" i="30"/>
  <c r="X122" i="30"/>
  <c r="N122" i="30"/>
  <c r="L122" i="30"/>
  <c r="B122" i="30"/>
  <c r="T121" i="30"/>
  <c r="P121" i="30"/>
  <c r="X121" i="30" s="1"/>
  <c r="Z121" i="30" s="1"/>
  <c r="H121" i="30"/>
  <c r="D121" i="30"/>
  <c r="B121" i="30"/>
  <c r="X120" i="30"/>
  <c r="Z120" i="30" s="1"/>
  <c r="N120" i="30"/>
  <c r="L120" i="30"/>
  <c r="B120" i="30"/>
  <c r="Z119" i="30"/>
  <c r="X119" i="30"/>
  <c r="L119" i="30"/>
  <c r="N119" i="30" s="1"/>
  <c r="B119" i="30"/>
  <c r="X118" i="30"/>
  <c r="Z118" i="30" s="1"/>
  <c r="L118" i="30"/>
  <c r="N118" i="30" s="1"/>
  <c r="B118" i="30"/>
  <c r="X117" i="30"/>
  <c r="Z117" i="30" s="1"/>
  <c r="T117" i="30"/>
  <c r="P117" i="30"/>
  <c r="N117" i="30"/>
  <c r="L117" i="30"/>
  <c r="J117" i="30"/>
  <c r="H117" i="30"/>
  <c r="D117" i="30"/>
  <c r="B117" i="30"/>
  <c r="Z116" i="30"/>
  <c r="X116" i="30"/>
  <c r="N116" i="30"/>
  <c r="L116" i="30"/>
  <c r="B116" i="30"/>
  <c r="T115" i="30"/>
  <c r="P115" i="30"/>
  <c r="L115" i="30"/>
  <c r="H115" i="30"/>
  <c r="D115" i="30"/>
  <c r="B115" i="30"/>
  <c r="Z114" i="30"/>
  <c r="X114" i="30"/>
  <c r="L114" i="30"/>
  <c r="N114" i="30" s="1"/>
  <c r="B114" i="30"/>
  <c r="T113" i="30"/>
  <c r="P113" i="30"/>
  <c r="N113" i="30"/>
  <c r="H113" i="30"/>
  <c r="D113" i="30"/>
  <c r="L113" i="30" s="1"/>
  <c r="B113" i="30"/>
  <c r="X112" i="30"/>
  <c r="Z112" i="30" s="1"/>
  <c r="N112" i="30"/>
  <c r="L112" i="30"/>
  <c r="B112" i="30"/>
  <c r="X111" i="30"/>
  <c r="Z111" i="30" s="1"/>
  <c r="T111" i="30"/>
  <c r="P111" i="30"/>
  <c r="N111" i="30"/>
  <c r="J111" i="30"/>
  <c r="H111" i="30"/>
  <c r="D111" i="30"/>
  <c r="L111" i="30" s="1"/>
  <c r="B111" i="30"/>
  <c r="X110" i="30"/>
  <c r="Z110" i="30" s="1"/>
  <c r="N110" i="30"/>
  <c r="L110" i="30"/>
  <c r="J110" i="30"/>
  <c r="B110" i="30"/>
  <c r="T109" i="30"/>
  <c r="P109" i="30"/>
  <c r="H109" i="30"/>
  <c r="L109" i="30" s="1"/>
  <c r="D109" i="30"/>
  <c r="B109" i="30"/>
  <c r="X108" i="30"/>
  <c r="Z108" i="30" s="1"/>
  <c r="L108" i="30"/>
  <c r="N108" i="30" s="1"/>
  <c r="J108" i="30"/>
  <c r="B108" i="30"/>
  <c r="Z107" i="30"/>
  <c r="T107" i="30"/>
  <c r="P107" i="30"/>
  <c r="X107" i="30" s="1"/>
  <c r="H107" i="30"/>
  <c r="N107" i="30" s="1"/>
  <c r="D107" i="30"/>
  <c r="L107" i="30" s="1"/>
  <c r="B107" i="30"/>
  <c r="Z106" i="30"/>
  <c r="X106" i="30"/>
  <c r="N106" i="30"/>
  <c r="L106" i="30"/>
  <c r="B106" i="30"/>
  <c r="X105" i="30"/>
  <c r="Z105" i="30" s="1"/>
  <c r="N105" i="30"/>
  <c r="L105" i="30"/>
  <c r="J105" i="30"/>
  <c r="B105" i="30"/>
  <c r="T104" i="30"/>
  <c r="P104" i="30"/>
  <c r="X104" i="30" s="1"/>
  <c r="H104" i="30"/>
  <c r="N104" i="30" s="1"/>
  <c r="D104" i="30"/>
  <c r="L104" i="30" s="1"/>
  <c r="B104" i="30"/>
  <c r="X103" i="30"/>
  <c r="Z103" i="30" s="1"/>
  <c r="N103" i="30"/>
  <c r="L103" i="30"/>
  <c r="B103" i="30"/>
  <c r="Z102" i="30"/>
  <c r="X102" i="30"/>
  <c r="N102" i="30"/>
  <c r="L102" i="30"/>
  <c r="J102" i="30"/>
  <c r="B102" i="30"/>
  <c r="T101" i="30"/>
  <c r="P101" i="30"/>
  <c r="H101" i="30"/>
  <c r="D101" i="30"/>
  <c r="B101" i="30"/>
  <c r="X100" i="30"/>
  <c r="Z100" i="30" s="1"/>
  <c r="L100" i="30"/>
  <c r="N100" i="30" s="1"/>
  <c r="B100" i="30"/>
  <c r="T99" i="30"/>
  <c r="P99" i="30"/>
  <c r="H99" i="30"/>
  <c r="D99" i="30"/>
  <c r="B99" i="30"/>
  <c r="Z98" i="30"/>
  <c r="X98" i="30"/>
  <c r="N98" i="30"/>
  <c r="L98" i="30"/>
  <c r="B98" i="30"/>
  <c r="Z97" i="30"/>
  <c r="T97" i="30"/>
  <c r="P97" i="30"/>
  <c r="X97" i="30" s="1"/>
  <c r="N97" i="30"/>
  <c r="L97" i="30"/>
  <c r="H97" i="30"/>
  <c r="D97" i="30"/>
  <c r="B97" i="30"/>
  <c r="Z96" i="30"/>
  <c r="X96" i="30"/>
  <c r="L96" i="30"/>
  <c r="N96" i="30" s="1"/>
  <c r="J96" i="30"/>
  <c r="B96" i="30"/>
  <c r="T95" i="30"/>
  <c r="P95" i="30"/>
  <c r="H95" i="30"/>
  <c r="D95" i="30"/>
  <c r="B95" i="30"/>
  <c r="Z94" i="30"/>
  <c r="X94" i="30"/>
  <c r="L94" i="30"/>
  <c r="N94" i="30" s="1"/>
  <c r="B94" i="30"/>
  <c r="Z93" i="30"/>
  <c r="T93" i="30"/>
  <c r="P93" i="30"/>
  <c r="X93" i="30" s="1"/>
  <c r="J93" i="30"/>
  <c r="H93" i="30"/>
  <c r="D93" i="30"/>
  <c r="B93" i="30"/>
  <c r="X92" i="30"/>
  <c r="Z92" i="30" s="1"/>
  <c r="L92" i="30"/>
  <c r="N92" i="30" s="1"/>
  <c r="B92" i="30"/>
  <c r="T91" i="30"/>
  <c r="P91" i="30"/>
  <c r="X91" i="30" s="1"/>
  <c r="Z91" i="30" s="1"/>
  <c r="N91" i="30"/>
  <c r="L91" i="30"/>
  <c r="H91" i="30"/>
  <c r="D91" i="30"/>
  <c r="B91" i="30"/>
  <c r="Z90" i="30"/>
  <c r="X90" i="30"/>
  <c r="L90" i="30"/>
  <c r="N90" i="30" s="1"/>
  <c r="J90" i="30"/>
  <c r="B90" i="30"/>
  <c r="T89" i="30"/>
  <c r="P89" i="30"/>
  <c r="J89" i="30"/>
  <c r="H89" i="30"/>
  <c r="D89" i="30"/>
  <c r="B89" i="30"/>
  <c r="Z88" i="30"/>
  <c r="X88" i="30"/>
  <c r="N88" i="30"/>
  <c r="L88" i="30"/>
  <c r="J88" i="30"/>
  <c r="B88" i="30"/>
  <c r="Z87" i="30"/>
  <c r="X87" i="30"/>
  <c r="N87" i="30"/>
  <c r="L87" i="30"/>
  <c r="J87" i="30"/>
  <c r="B87" i="30"/>
  <c r="Z86" i="30"/>
  <c r="X86" i="30"/>
  <c r="N86" i="30"/>
  <c r="L86" i="30"/>
  <c r="B86" i="30"/>
  <c r="Z85" i="30"/>
  <c r="X85" i="30"/>
  <c r="L85" i="30"/>
  <c r="N85" i="30" s="1"/>
  <c r="J85" i="30"/>
  <c r="B85" i="30"/>
  <c r="Z84" i="30"/>
  <c r="X84" i="30"/>
  <c r="N84" i="30"/>
  <c r="L84" i="30"/>
  <c r="B84" i="30"/>
  <c r="Z83" i="30"/>
  <c r="X83" i="30"/>
  <c r="N83" i="30"/>
  <c r="L83" i="30"/>
  <c r="J83" i="30"/>
  <c r="B83" i="30"/>
  <c r="Z82" i="30"/>
  <c r="X82" i="30"/>
  <c r="L82" i="30"/>
  <c r="N82" i="30" s="1"/>
  <c r="J82" i="30"/>
  <c r="B82" i="30"/>
  <c r="Z81" i="30"/>
  <c r="X81" i="30"/>
  <c r="N81" i="30"/>
  <c r="L81" i="30"/>
  <c r="B81" i="30"/>
  <c r="Z80" i="30"/>
  <c r="X80" i="30"/>
  <c r="L80" i="30"/>
  <c r="N80" i="30" s="1"/>
  <c r="J80" i="30"/>
  <c r="B80" i="30"/>
  <c r="Z79" i="30"/>
  <c r="X79" i="30"/>
  <c r="N79" i="30"/>
  <c r="L79" i="30"/>
  <c r="J79" i="30"/>
  <c r="B79" i="30"/>
  <c r="T78" i="30"/>
  <c r="Z78" i="30" s="1"/>
  <c r="P78" i="30"/>
  <c r="X78" i="30" s="1"/>
  <c r="H78" i="30"/>
  <c r="N78" i="30" s="1"/>
  <c r="D78" i="30"/>
  <c r="L78" i="30" s="1"/>
  <c r="B78" i="30"/>
  <c r="X77" i="30"/>
  <c r="Z77" i="30" s="1"/>
  <c r="L77" i="30"/>
  <c r="N77" i="30" s="1"/>
  <c r="J77" i="30"/>
  <c r="B77" i="30"/>
  <c r="X76" i="30"/>
  <c r="Z76" i="30" s="1"/>
  <c r="N76" i="30"/>
  <c r="L76" i="30"/>
  <c r="B76" i="30"/>
  <c r="X75" i="30"/>
  <c r="Z75" i="30" s="1"/>
  <c r="L75" i="30"/>
  <c r="N75" i="30" s="1"/>
  <c r="J75" i="30"/>
  <c r="B75" i="30"/>
  <c r="Z74" i="30"/>
  <c r="X74" i="30"/>
  <c r="N74" i="30"/>
  <c r="L74" i="30"/>
  <c r="B74" i="30"/>
  <c r="X73" i="30"/>
  <c r="Z73" i="30" s="1"/>
  <c r="N73" i="30"/>
  <c r="L73" i="30"/>
  <c r="B73" i="30"/>
  <c r="X72" i="30"/>
  <c r="Z72" i="30" s="1"/>
  <c r="L72" i="30"/>
  <c r="N72" i="30" s="1"/>
  <c r="B72" i="30"/>
  <c r="Z71" i="30"/>
  <c r="X71" i="30"/>
  <c r="L71" i="30"/>
  <c r="N71" i="30" s="1"/>
  <c r="J71" i="30"/>
  <c r="B71" i="30"/>
  <c r="X70" i="30"/>
  <c r="Z70" i="30" s="1"/>
  <c r="N70" i="30"/>
  <c r="L70" i="30"/>
  <c r="B70" i="30"/>
  <c r="X69" i="30"/>
  <c r="Z69" i="30" s="1"/>
  <c r="N69" i="30"/>
  <c r="L69" i="30"/>
  <c r="B69" i="30"/>
  <c r="X68" i="30"/>
  <c r="T68" i="30"/>
  <c r="P68" i="30"/>
  <c r="H68" i="30"/>
  <c r="D68" i="30"/>
  <c r="B68" i="30"/>
  <c r="T67" i="30"/>
  <c r="P67" i="30"/>
  <c r="H67" i="30"/>
  <c r="D67" i="30"/>
  <c r="Z63" i="30"/>
  <c r="X63" i="30"/>
  <c r="N63" i="30"/>
  <c r="L63" i="30"/>
  <c r="B63" i="30"/>
  <c r="Z62" i="30"/>
  <c r="X62" i="30"/>
  <c r="N62" i="30"/>
  <c r="L62" i="30"/>
  <c r="J62" i="30"/>
  <c r="B62" i="30"/>
  <c r="Z61" i="30"/>
  <c r="X61" i="30"/>
  <c r="N61" i="30"/>
  <c r="L61" i="30"/>
  <c r="B61" i="30"/>
  <c r="Z60" i="30"/>
  <c r="X60" i="30"/>
  <c r="N60" i="30"/>
  <c r="L60" i="30"/>
  <c r="J60" i="30"/>
  <c r="B60" i="30"/>
  <c r="Z59" i="30"/>
  <c r="X59" i="30"/>
  <c r="N59" i="30"/>
  <c r="L59" i="30"/>
  <c r="B59" i="30"/>
  <c r="Z58" i="30"/>
  <c r="X58" i="30"/>
  <c r="N58" i="30"/>
  <c r="L58" i="30"/>
  <c r="J58" i="30"/>
  <c r="B58" i="30"/>
  <c r="Z57" i="30"/>
  <c r="X57" i="30"/>
  <c r="N57" i="30"/>
  <c r="L57" i="30"/>
  <c r="J57" i="30"/>
  <c r="B57" i="30"/>
  <c r="Z56" i="30"/>
  <c r="X56" i="30"/>
  <c r="N56" i="30"/>
  <c r="L56" i="30"/>
  <c r="J56" i="30"/>
  <c r="B56" i="30"/>
  <c r="Z55" i="30"/>
  <c r="X55" i="30"/>
  <c r="N55" i="30"/>
  <c r="L55" i="30"/>
  <c r="J55" i="30"/>
  <c r="B55" i="30"/>
  <c r="Z54" i="30"/>
  <c r="X54" i="30"/>
  <c r="N54" i="30"/>
  <c r="L54" i="30"/>
  <c r="B54" i="30"/>
  <c r="Z53" i="30"/>
  <c r="X53" i="30"/>
  <c r="N53" i="30"/>
  <c r="L53" i="30"/>
  <c r="J53" i="30"/>
  <c r="B53" i="30"/>
  <c r="Z52" i="30"/>
  <c r="X52" i="30"/>
  <c r="N52" i="30"/>
  <c r="L52" i="30"/>
  <c r="B52" i="30"/>
  <c r="X51" i="30"/>
  <c r="Z51" i="30" s="1"/>
  <c r="L51" i="30"/>
  <c r="N51" i="30" s="1"/>
  <c r="J51" i="30"/>
  <c r="B51" i="30"/>
  <c r="T50" i="30"/>
  <c r="P50" i="30"/>
  <c r="J50" i="30"/>
  <c r="H50" i="30"/>
  <c r="H65" i="30" s="1"/>
  <c r="D50" i="30"/>
  <c r="Z48" i="30"/>
  <c r="P48" i="30"/>
  <c r="X48" i="30" s="1"/>
  <c r="N48" i="30"/>
  <c r="L48" i="30"/>
  <c r="D48" i="30"/>
  <c r="B48" i="30"/>
  <c r="Z47" i="30"/>
  <c r="X47" i="30"/>
  <c r="P47" i="30"/>
  <c r="N47" i="30"/>
  <c r="D47" i="30"/>
  <c r="L47" i="30" s="1"/>
  <c r="B47" i="30"/>
  <c r="Z46" i="30"/>
  <c r="P46" i="30"/>
  <c r="X46" i="30" s="1"/>
  <c r="N46" i="30"/>
  <c r="D46" i="30"/>
  <c r="L46" i="30" s="1"/>
  <c r="B46" i="30"/>
  <c r="Z45" i="30"/>
  <c r="X45" i="30"/>
  <c r="P45" i="30"/>
  <c r="N45" i="30"/>
  <c r="D45" i="30"/>
  <c r="L45" i="30" s="1"/>
  <c r="B45" i="30"/>
  <c r="Z44" i="30"/>
  <c r="P44" i="30"/>
  <c r="X44" i="30" s="1"/>
  <c r="N44" i="30"/>
  <c r="L44" i="30"/>
  <c r="D44" i="30"/>
  <c r="B44" i="30"/>
  <c r="Z43" i="30"/>
  <c r="P43" i="30"/>
  <c r="X43" i="30" s="1"/>
  <c r="N43" i="30"/>
  <c r="D43" i="30"/>
  <c r="L43" i="30" s="1"/>
  <c r="B43" i="30"/>
  <c r="Z42" i="30"/>
  <c r="P42" i="30"/>
  <c r="X42" i="30" s="1"/>
  <c r="N42" i="30"/>
  <c r="L42" i="30"/>
  <c r="D42" i="30"/>
  <c r="B42" i="30"/>
  <c r="Z41" i="30"/>
  <c r="P41" i="30"/>
  <c r="X41" i="30" s="1"/>
  <c r="N41" i="30"/>
  <c r="D41" i="30"/>
  <c r="L41" i="30" s="1"/>
  <c r="B41" i="30"/>
  <c r="Z40" i="30"/>
  <c r="P40" i="30"/>
  <c r="X40" i="30" s="1"/>
  <c r="N40" i="30"/>
  <c r="D40" i="30"/>
  <c r="L40" i="30" s="1"/>
  <c r="B40" i="30"/>
  <c r="Z39" i="30"/>
  <c r="X39" i="30"/>
  <c r="P39" i="30"/>
  <c r="N39" i="30"/>
  <c r="D39" i="30"/>
  <c r="L39" i="30" s="1"/>
  <c r="B39" i="30"/>
  <c r="Z38" i="30"/>
  <c r="P38" i="30"/>
  <c r="X38" i="30" s="1"/>
  <c r="N38" i="30"/>
  <c r="D38" i="30"/>
  <c r="L38" i="30" s="1"/>
  <c r="B38" i="30"/>
  <c r="Z37" i="30"/>
  <c r="P37" i="30"/>
  <c r="X37" i="30" s="1"/>
  <c r="N37" i="30"/>
  <c r="D37" i="30"/>
  <c r="L37" i="30" s="1"/>
  <c r="B37" i="30"/>
  <c r="Z36" i="30"/>
  <c r="P36" i="30"/>
  <c r="X36" i="30" s="1"/>
  <c r="N36" i="30"/>
  <c r="L36" i="30"/>
  <c r="D36" i="30"/>
  <c r="B36" i="30"/>
  <c r="Z35" i="30"/>
  <c r="X35" i="30"/>
  <c r="P35" i="30"/>
  <c r="N35" i="30"/>
  <c r="D35" i="30"/>
  <c r="L35" i="30" s="1"/>
  <c r="B35" i="30"/>
  <c r="Z34" i="30"/>
  <c r="P34" i="30"/>
  <c r="X34" i="30" s="1"/>
  <c r="N34" i="30"/>
  <c r="D34" i="30"/>
  <c r="L34" i="30" s="1"/>
  <c r="B34" i="30"/>
  <c r="Z33" i="30"/>
  <c r="X33" i="30"/>
  <c r="P33" i="30"/>
  <c r="N33" i="30"/>
  <c r="D33" i="30"/>
  <c r="L33" i="30" s="1"/>
  <c r="B33" i="30"/>
  <c r="Z32" i="30"/>
  <c r="P32" i="30"/>
  <c r="X32" i="30" s="1"/>
  <c r="N32" i="30"/>
  <c r="L32" i="30"/>
  <c r="D32" i="30"/>
  <c r="B32" i="30"/>
  <c r="Z31" i="30"/>
  <c r="P31" i="30"/>
  <c r="X31" i="30" s="1"/>
  <c r="N31" i="30"/>
  <c r="D31" i="30"/>
  <c r="L31" i="30" s="1"/>
  <c r="B31" i="30"/>
  <c r="Z30" i="30"/>
  <c r="P30" i="30"/>
  <c r="X30" i="30" s="1"/>
  <c r="N30" i="30"/>
  <c r="L30" i="30"/>
  <c r="D30" i="30"/>
  <c r="B30" i="30"/>
  <c r="Z29" i="30"/>
  <c r="P29" i="30"/>
  <c r="X29" i="30" s="1"/>
  <c r="N29" i="30"/>
  <c r="D29" i="30"/>
  <c r="L29" i="30" s="1"/>
  <c r="B29" i="30"/>
  <c r="Z28" i="30"/>
  <c r="P28" i="30"/>
  <c r="X28" i="30" s="1"/>
  <c r="N28" i="30"/>
  <c r="D28" i="30"/>
  <c r="L28" i="30" s="1"/>
  <c r="B28" i="30"/>
  <c r="Z27" i="30"/>
  <c r="X27" i="30"/>
  <c r="P27" i="30"/>
  <c r="N27" i="30"/>
  <c r="D27" i="30"/>
  <c r="L27" i="30" s="1"/>
  <c r="B27" i="30"/>
  <c r="Z26" i="30"/>
  <c r="P26" i="30"/>
  <c r="X26" i="30" s="1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L24" i="30"/>
  <c r="D24" i="30"/>
  <c r="B24" i="30"/>
  <c r="Z23" i="30"/>
  <c r="X23" i="30"/>
  <c r="P23" i="30"/>
  <c r="N23" i="30"/>
  <c r="D23" i="30"/>
  <c r="L23" i="30" s="1"/>
  <c r="B23" i="30"/>
  <c r="Z22" i="30"/>
  <c r="P22" i="30"/>
  <c r="X22" i="30" s="1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P20" i="30"/>
  <c r="X20" i="30" s="1"/>
  <c r="N20" i="30"/>
  <c r="L20" i="30"/>
  <c r="D20" i="30"/>
  <c r="B20" i="30"/>
  <c r="Z19" i="30"/>
  <c r="P19" i="30"/>
  <c r="X19" i="30" s="1"/>
  <c r="N19" i="30"/>
  <c r="D19" i="30"/>
  <c r="L19" i="30" s="1"/>
  <c r="B19" i="30"/>
  <c r="Z18" i="30"/>
  <c r="P18" i="30"/>
  <c r="X18" i="30" s="1"/>
  <c r="N18" i="30"/>
  <c r="L18" i="30"/>
  <c r="D18" i="30"/>
  <c r="B18" i="30"/>
  <c r="Z17" i="30"/>
  <c r="P17" i="30"/>
  <c r="X17" i="30" s="1"/>
  <c r="N17" i="30"/>
  <c r="D17" i="30"/>
  <c r="L17" i="30" s="1"/>
  <c r="B17" i="30"/>
  <c r="Z16" i="30"/>
  <c r="P16" i="30"/>
  <c r="P12" i="30" s="1"/>
  <c r="N16" i="30"/>
  <c r="D16" i="30"/>
  <c r="L16" i="30" s="1"/>
  <c r="B16" i="30"/>
  <c r="Z15" i="30"/>
  <c r="X15" i="30"/>
  <c r="P15" i="30"/>
  <c r="N15" i="30"/>
  <c r="D15" i="30"/>
  <c r="L15" i="30" s="1"/>
  <c r="B15" i="30"/>
  <c r="Z14" i="30"/>
  <c r="P14" i="30"/>
  <c r="X14" i="30" s="1"/>
  <c r="N14" i="30"/>
  <c r="D14" i="30"/>
  <c r="L14" i="30" s="1"/>
  <c r="B14" i="30"/>
  <c r="P13" i="30"/>
  <c r="X13" i="30" s="1"/>
  <c r="Z13" i="30" s="1"/>
  <c r="D13" i="30"/>
  <c r="D12" i="30" s="1"/>
  <c r="B13" i="30"/>
  <c r="T12" i="30"/>
  <c r="V134" i="30" s="1"/>
  <c r="H12" i="30"/>
  <c r="J155" i="30" s="1"/>
  <c r="D4" i="30"/>
  <c r="X108" i="27"/>
  <c r="Z108" i="27" s="1"/>
  <c r="L108" i="27"/>
  <c r="N108" i="27" s="1"/>
  <c r="Z104" i="27"/>
  <c r="X104" i="27"/>
  <c r="P104" i="27"/>
  <c r="N104" i="27"/>
  <c r="D104" i="27"/>
  <c r="L104" i="27" s="1"/>
  <c r="B104" i="27"/>
  <c r="P103" i="27"/>
  <c r="X103" i="27" s="1"/>
  <c r="Z103" i="27" s="1"/>
  <c r="N103" i="27"/>
  <c r="D103" i="27"/>
  <c r="L103" i="27" s="1"/>
  <c r="B103" i="27"/>
  <c r="P102" i="27"/>
  <c r="X102" i="27" s="1"/>
  <c r="Z102" i="27" s="1"/>
  <c r="D102" i="27"/>
  <c r="L102" i="27" s="1"/>
  <c r="N102" i="27" s="1"/>
  <c r="B102" i="27"/>
  <c r="T101" i="27"/>
  <c r="H101" i="27"/>
  <c r="Z99" i="27"/>
  <c r="X99" i="27"/>
  <c r="N99" i="27"/>
  <c r="L99" i="27"/>
  <c r="B99" i="27"/>
  <c r="T98" i="27"/>
  <c r="Z98" i="27" s="1"/>
  <c r="P98" i="27"/>
  <c r="H98" i="27"/>
  <c r="N98" i="27" s="1"/>
  <c r="D98" i="27"/>
  <c r="B98" i="27"/>
  <c r="X97" i="27"/>
  <c r="Z97" i="27" s="1"/>
  <c r="L97" i="27"/>
  <c r="N97" i="27" s="1"/>
  <c r="B97" i="27"/>
  <c r="X96" i="27"/>
  <c r="Z96" i="27" s="1"/>
  <c r="L96" i="27"/>
  <c r="N96" i="27" s="1"/>
  <c r="B96" i="27"/>
  <c r="Z95" i="27"/>
  <c r="X95" i="27"/>
  <c r="T95" i="27"/>
  <c r="P95" i="27"/>
  <c r="L95" i="27"/>
  <c r="N95" i="27" s="1"/>
  <c r="H95" i="27"/>
  <c r="D95" i="27"/>
  <c r="B95" i="27"/>
  <c r="X94" i="27"/>
  <c r="Z94" i="27" s="1"/>
  <c r="L94" i="27"/>
  <c r="N94" i="27" s="1"/>
  <c r="B94" i="27"/>
  <c r="X93" i="27"/>
  <c r="Z93" i="27" s="1"/>
  <c r="N93" i="27"/>
  <c r="L93" i="27"/>
  <c r="B93" i="27"/>
  <c r="X92" i="27"/>
  <c r="Z92" i="27" s="1"/>
  <c r="L92" i="27"/>
  <c r="N92" i="27" s="1"/>
  <c r="B92" i="27"/>
  <c r="T91" i="27"/>
  <c r="P91" i="27"/>
  <c r="H91" i="27"/>
  <c r="D91" i="27"/>
  <c r="B91" i="27"/>
  <c r="X90" i="27"/>
  <c r="Z90" i="27" s="1"/>
  <c r="L90" i="27"/>
  <c r="N90" i="27" s="1"/>
  <c r="B90" i="27"/>
  <c r="T89" i="27"/>
  <c r="P89" i="27"/>
  <c r="X89" i="27" s="1"/>
  <c r="Z89" i="27" s="1"/>
  <c r="H89" i="27"/>
  <c r="D89" i="27"/>
  <c r="L89" i="27" s="1"/>
  <c r="N89" i="27" s="1"/>
  <c r="B89" i="27"/>
  <c r="X88" i="27"/>
  <c r="Z88" i="27" s="1"/>
  <c r="L88" i="27"/>
  <c r="N88" i="27" s="1"/>
  <c r="B88" i="27"/>
  <c r="Z87" i="27"/>
  <c r="X87" i="27"/>
  <c r="L87" i="27"/>
  <c r="N87" i="27" s="1"/>
  <c r="B87" i="27"/>
  <c r="T86" i="27"/>
  <c r="Z86" i="27" s="1"/>
  <c r="P86" i="27"/>
  <c r="X86" i="27" s="1"/>
  <c r="H86" i="27"/>
  <c r="D86" i="27"/>
  <c r="L86" i="27" s="1"/>
  <c r="B86" i="27"/>
  <c r="X85" i="27"/>
  <c r="Z85" i="27" s="1"/>
  <c r="N85" i="27"/>
  <c r="L85" i="27"/>
  <c r="B85" i="27"/>
  <c r="X84" i="27"/>
  <c r="Z84" i="27" s="1"/>
  <c r="T84" i="27"/>
  <c r="P84" i="27"/>
  <c r="L84" i="27"/>
  <c r="N84" i="27" s="1"/>
  <c r="H84" i="27"/>
  <c r="D84" i="27"/>
  <c r="B84" i="27"/>
  <c r="Z83" i="27"/>
  <c r="X83" i="27"/>
  <c r="N83" i="27"/>
  <c r="L83" i="27"/>
  <c r="B83" i="27"/>
  <c r="X82" i="27"/>
  <c r="Z82" i="27" s="1"/>
  <c r="L82" i="27"/>
  <c r="N82" i="27" s="1"/>
  <c r="B82" i="27"/>
  <c r="T81" i="27"/>
  <c r="P81" i="27"/>
  <c r="X81" i="27" s="1"/>
  <c r="Z81" i="27" s="1"/>
  <c r="H81" i="27"/>
  <c r="D81" i="27"/>
  <c r="L81" i="27" s="1"/>
  <c r="N81" i="27" s="1"/>
  <c r="B81" i="27"/>
  <c r="X80" i="27"/>
  <c r="Z80" i="27" s="1"/>
  <c r="L80" i="27"/>
  <c r="N80" i="27" s="1"/>
  <c r="B80" i="27"/>
  <c r="Z79" i="27"/>
  <c r="X79" i="27"/>
  <c r="T79" i="27"/>
  <c r="P79" i="27"/>
  <c r="L79" i="27"/>
  <c r="N79" i="27" s="1"/>
  <c r="H79" i="27"/>
  <c r="D79" i="27"/>
  <c r="B79" i="27"/>
  <c r="X78" i="27"/>
  <c r="Z78" i="27" s="1"/>
  <c r="L78" i="27"/>
  <c r="N78" i="27" s="1"/>
  <c r="B78" i="27"/>
  <c r="T77" i="27"/>
  <c r="P77" i="27"/>
  <c r="H77" i="27"/>
  <c r="D77" i="27"/>
  <c r="B77" i="27"/>
  <c r="X76" i="27"/>
  <c r="Z76" i="27" s="1"/>
  <c r="L76" i="27"/>
  <c r="N76" i="27" s="1"/>
  <c r="B76" i="27"/>
  <c r="T75" i="27"/>
  <c r="P75" i="27"/>
  <c r="X75" i="27" s="1"/>
  <c r="Z75" i="27" s="1"/>
  <c r="H75" i="27"/>
  <c r="D75" i="27"/>
  <c r="L75" i="27" s="1"/>
  <c r="N75" i="27" s="1"/>
  <c r="B75" i="27"/>
  <c r="X74" i="27"/>
  <c r="Z74" i="27" s="1"/>
  <c r="L74" i="27"/>
  <c r="N74" i="27" s="1"/>
  <c r="B74" i="27"/>
  <c r="X73" i="27"/>
  <c r="Z73" i="27" s="1"/>
  <c r="T73" i="27"/>
  <c r="P73" i="27"/>
  <c r="N73" i="27"/>
  <c r="L73" i="27"/>
  <c r="H73" i="27"/>
  <c r="D73" i="27"/>
  <c r="B73" i="27"/>
  <c r="X72" i="27"/>
  <c r="Z72" i="27" s="1"/>
  <c r="L72" i="27"/>
  <c r="N72" i="27" s="1"/>
  <c r="B72" i="27"/>
  <c r="T71" i="27"/>
  <c r="P71" i="27"/>
  <c r="H71" i="27"/>
  <c r="D71" i="27"/>
  <c r="B71" i="27"/>
  <c r="Z70" i="27"/>
  <c r="X70" i="27"/>
  <c r="N70" i="27"/>
  <c r="L70" i="27"/>
  <c r="B70" i="27"/>
  <c r="Z69" i="27"/>
  <c r="X69" i="27"/>
  <c r="N69" i="27"/>
  <c r="L69" i="27"/>
  <c r="B69" i="27"/>
  <c r="X68" i="27"/>
  <c r="Z68" i="27" s="1"/>
  <c r="L68" i="27"/>
  <c r="N68" i="27" s="1"/>
  <c r="B68" i="27"/>
  <c r="Z67" i="27"/>
  <c r="X67" i="27"/>
  <c r="N67" i="27"/>
  <c r="L67" i="27"/>
  <c r="B67" i="27"/>
  <c r="Z66" i="27"/>
  <c r="X66" i="27"/>
  <c r="N66" i="27"/>
  <c r="L66" i="27"/>
  <c r="B66" i="27"/>
  <c r="Z65" i="27"/>
  <c r="X65" i="27"/>
  <c r="L65" i="27"/>
  <c r="N65" i="27" s="1"/>
  <c r="B65" i="27"/>
  <c r="X64" i="27"/>
  <c r="Z64" i="27" s="1"/>
  <c r="L64" i="27"/>
  <c r="N64" i="27" s="1"/>
  <c r="B64" i="27"/>
  <c r="Z63" i="27"/>
  <c r="X63" i="27"/>
  <c r="N63" i="27"/>
  <c r="L63" i="27"/>
  <c r="B63" i="27"/>
  <c r="X62" i="27"/>
  <c r="Z62" i="27" s="1"/>
  <c r="L62" i="27"/>
  <c r="N62" i="27" s="1"/>
  <c r="B62" i="27"/>
  <c r="Z61" i="27"/>
  <c r="X61" i="27"/>
  <c r="N61" i="27"/>
  <c r="L61" i="27"/>
  <c r="B61" i="27"/>
  <c r="T60" i="27"/>
  <c r="P60" i="27"/>
  <c r="H60" i="27"/>
  <c r="D60" i="27"/>
  <c r="B60" i="27"/>
  <c r="X59" i="27"/>
  <c r="Z59" i="27" s="1"/>
  <c r="L59" i="27"/>
  <c r="N59" i="27" s="1"/>
  <c r="B59" i="27"/>
  <c r="X58" i="27"/>
  <c r="Z58" i="27" s="1"/>
  <c r="L58" i="27"/>
  <c r="N58" i="27" s="1"/>
  <c r="B58" i="27"/>
  <c r="X57" i="27"/>
  <c r="Z57" i="27" s="1"/>
  <c r="L57" i="27"/>
  <c r="N57" i="27" s="1"/>
  <c r="B57" i="27"/>
  <c r="Z56" i="27"/>
  <c r="X56" i="27"/>
  <c r="N56" i="27"/>
  <c r="L56" i="27"/>
  <c r="B56" i="27"/>
  <c r="Z55" i="27"/>
  <c r="X55" i="27"/>
  <c r="N55" i="27"/>
  <c r="L55" i="27"/>
  <c r="B55" i="27"/>
  <c r="X54" i="27"/>
  <c r="Z54" i="27" s="1"/>
  <c r="L54" i="27"/>
  <c r="N54" i="27" s="1"/>
  <c r="B54" i="27"/>
  <c r="X53" i="27"/>
  <c r="Z53" i="27" s="1"/>
  <c r="L53" i="27"/>
  <c r="N53" i="27" s="1"/>
  <c r="B53" i="27"/>
  <c r="X52" i="27"/>
  <c r="Z52" i="27" s="1"/>
  <c r="L52" i="27"/>
  <c r="N52" i="27" s="1"/>
  <c r="B52" i="27"/>
  <c r="X51" i="27"/>
  <c r="Z51" i="27" s="1"/>
  <c r="L51" i="27"/>
  <c r="N51" i="27" s="1"/>
  <c r="B51" i="27"/>
  <c r="X50" i="27"/>
  <c r="Z50" i="27" s="1"/>
  <c r="L50" i="27"/>
  <c r="N50" i="27" s="1"/>
  <c r="B50" i="27"/>
  <c r="X49" i="27"/>
  <c r="Z49" i="27" s="1"/>
  <c r="T49" i="27"/>
  <c r="P49" i="27"/>
  <c r="L49" i="27"/>
  <c r="N49" i="27" s="1"/>
  <c r="J49" i="27"/>
  <c r="H49" i="27"/>
  <c r="D49" i="27"/>
  <c r="B49" i="27"/>
  <c r="T48" i="27"/>
  <c r="P48" i="27"/>
  <c r="X48" i="27" s="1"/>
  <c r="Z48" i="27" s="1"/>
  <c r="L48" i="27"/>
  <c r="N48" i="27" s="1"/>
  <c r="H48" i="27"/>
  <c r="D48" i="27"/>
  <c r="Z44" i="27"/>
  <c r="X44" i="27"/>
  <c r="N44" i="27"/>
  <c r="L44" i="27"/>
  <c r="B44" i="27"/>
  <c r="Z43" i="27"/>
  <c r="X43" i="27"/>
  <c r="N43" i="27"/>
  <c r="L43" i="27"/>
  <c r="B43" i="27"/>
  <c r="Z42" i="27"/>
  <c r="X42" i="27"/>
  <c r="N42" i="27"/>
  <c r="L42" i="27"/>
  <c r="B42" i="27"/>
  <c r="Z41" i="27"/>
  <c r="X41" i="27"/>
  <c r="N41" i="27"/>
  <c r="L41" i="27"/>
  <c r="B41" i="27"/>
  <c r="Z40" i="27"/>
  <c r="X40" i="27"/>
  <c r="N40" i="27"/>
  <c r="L40" i="27"/>
  <c r="J40" i="27"/>
  <c r="B40" i="27"/>
  <c r="Z39" i="27"/>
  <c r="X39" i="27"/>
  <c r="N39" i="27"/>
  <c r="L39" i="27"/>
  <c r="B39" i="27"/>
  <c r="Z38" i="27"/>
  <c r="X38" i="27"/>
  <c r="N38" i="27"/>
  <c r="L38" i="27"/>
  <c r="J38" i="27"/>
  <c r="B38" i="27"/>
  <c r="Z37" i="27"/>
  <c r="X37" i="27"/>
  <c r="N37" i="27"/>
  <c r="L37" i="27"/>
  <c r="B37" i="27"/>
  <c r="Z36" i="27"/>
  <c r="X36" i="27"/>
  <c r="N36" i="27"/>
  <c r="L36" i="27"/>
  <c r="J36" i="27"/>
  <c r="B36" i="27"/>
  <c r="Z35" i="27"/>
  <c r="X35" i="27"/>
  <c r="N35" i="27"/>
  <c r="L35" i="27"/>
  <c r="B35" i="27"/>
  <c r="X34" i="27"/>
  <c r="Z34" i="27" s="1"/>
  <c r="L34" i="27"/>
  <c r="N34" i="27" s="1"/>
  <c r="J34" i="27"/>
  <c r="B34" i="27"/>
  <c r="V33" i="27"/>
  <c r="T33" i="27"/>
  <c r="P33" i="27"/>
  <c r="J33" i="27"/>
  <c r="H33" i="27"/>
  <c r="D33" i="27"/>
  <c r="Z31" i="27"/>
  <c r="P31" i="27"/>
  <c r="X31" i="27" s="1"/>
  <c r="N31" i="27"/>
  <c r="L31" i="27"/>
  <c r="D31" i="27"/>
  <c r="B31" i="27"/>
  <c r="Z30" i="27"/>
  <c r="X30" i="27"/>
  <c r="P30" i="27"/>
  <c r="N30" i="27"/>
  <c r="D30" i="27"/>
  <c r="L30" i="27" s="1"/>
  <c r="B30" i="27"/>
  <c r="Z29" i="27"/>
  <c r="P29" i="27"/>
  <c r="X29" i="27" s="1"/>
  <c r="N29" i="27"/>
  <c r="D29" i="27"/>
  <c r="L29" i="27" s="1"/>
  <c r="B29" i="27"/>
  <c r="Z28" i="27"/>
  <c r="X28" i="27"/>
  <c r="P28" i="27"/>
  <c r="N28" i="27"/>
  <c r="D28" i="27"/>
  <c r="L28" i="27" s="1"/>
  <c r="B28" i="27"/>
  <c r="Z27" i="27"/>
  <c r="P27" i="27"/>
  <c r="X27" i="27" s="1"/>
  <c r="N27" i="27"/>
  <c r="L27" i="27"/>
  <c r="D27" i="27"/>
  <c r="B27" i="27"/>
  <c r="Z26" i="27"/>
  <c r="P26" i="27"/>
  <c r="X26" i="27" s="1"/>
  <c r="N26" i="27"/>
  <c r="D26" i="27"/>
  <c r="L26" i="27" s="1"/>
  <c r="B26" i="27"/>
  <c r="Z25" i="27"/>
  <c r="P25" i="27"/>
  <c r="X25" i="27" s="1"/>
  <c r="N25" i="27"/>
  <c r="L25" i="27"/>
  <c r="D25" i="27"/>
  <c r="B25" i="27"/>
  <c r="Z24" i="27"/>
  <c r="X24" i="27"/>
  <c r="P24" i="27"/>
  <c r="N24" i="27"/>
  <c r="D24" i="27"/>
  <c r="L24" i="27" s="1"/>
  <c r="B24" i="27"/>
  <c r="Z23" i="27"/>
  <c r="P23" i="27"/>
  <c r="X23" i="27" s="1"/>
  <c r="N23" i="27"/>
  <c r="D23" i="27"/>
  <c r="L23" i="27" s="1"/>
  <c r="B23" i="27"/>
  <c r="Z22" i="27"/>
  <c r="X22" i="27"/>
  <c r="P22" i="27"/>
  <c r="N22" i="27"/>
  <c r="D22" i="27"/>
  <c r="L22" i="27" s="1"/>
  <c r="B22" i="27"/>
  <c r="Z21" i="27"/>
  <c r="P21" i="27"/>
  <c r="X21" i="27" s="1"/>
  <c r="N21" i="27"/>
  <c r="L21" i="27"/>
  <c r="D21" i="27"/>
  <c r="B21" i="27"/>
  <c r="Z20" i="27"/>
  <c r="P20" i="27"/>
  <c r="X20" i="27" s="1"/>
  <c r="N20" i="27"/>
  <c r="D20" i="27"/>
  <c r="D12" i="27" s="1"/>
  <c r="B20" i="27"/>
  <c r="Z19" i="27"/>
  <c r="P19" i="27"/>
  <c r="X19" i="27" s="1"/>
  <c r="N19" i="27"/>
  <c r="L19" i="27"/>
  <c r="D19" i="27"/>
  <c r="B19" i="27"/>
  <c r="Z18" i="27"/>
  <c r="X18" i="27"/>
  <c r="P18" i="27"/>
  <c r="N18" i="27"/>
  <c r="D18" i="27"/>
  <c r="L18" i="27" s="1"/>
  <c r="B18" i="27"/>
  <c r="Z17" i="27"/>
  <c r="P17" i="27"/>
  <c r="X17" i="27" s="1"/>
  <c r="N17" i="27"/>
  <c r="D17" i="27"/>
  <c r="L17" i="27" s="1"/>
  <c r="B17" i="27"/>
  <c r="Z16" i="27"/>
  <c r="X16" i="27"/>
  <c r="P16" i="27"/>
  <c r="N16" i="27"/>
  <c r="D16" i="27"/>
  <c r="L16" i="27" s="1"/>
  <c r="B16" i="27"/>
  <c r="Z15" i="27"/>
  <c r="P15" i="27"/>
  <c r="X15" i="27" s="1"/>
  <c r="N15" i="27"/>
  <c r="L15" i="27"/>
  <c r="D15" i="27"/>
  <c r="B15" i="27"/>
  <c r="Z14" i="27"/>
  <c r="P14" i="27"/>
  <c r="X14" i="27" s="1"/>
  <c r="N14" i="27"/>
  <c r="D14" i="27"/>
  <c r="L14" i="27" s="1"/>
  <c r="B14" i="27"/>
  <c r="P13" i="27"/>
  <c r="X13" i="27" s="1"/>
  <c r="Z13" i="27" s="1"/>
  <c r="L13" i="27"/>
  <c r="N13" i="27" s="1"/>
  <c r="D13" i="27"/>
  <c r="B13" i="27"/>
  <c r="T12" i="27"/>
  <c r="V89" i="27" s="1"/>
  <c r="H12" i="27"/>
  <c r="J102" i="27" s="1"/>
  <c r="D4" i="27"/>
  <c r="X85" i="24"/>
  <c r="Z85" i="24" s="1"/>
  <c r="V85" i="24"/>
  <c r="N85" i="24"/>
  <c r="L85" i="24"/>
  <c r="Z81" i="24"/>
  <c r="X81" i="24"/>
  <c r="V81" i="24"/>
  <c r="T81" i="24"/>
  <c r="P81" i="24"/>
  <c r="N81" i="24"/>
  <c r="L81" i="24"/>
  <c r="H81" i="24"/>
  <c r="D81" i="24"/>
  <c r="Z79" i="24"/>
  <c r="X79" i="24"/>
  <c r="V79" i="24"/>
  <c r="L79" i="24"/>
  <c r="N79" i="24" s="1"/>
  <c r="B79" i="24"/>
  <c r="T78" i="24"/>
  <c r="V78" i="24" s="1"/>
  <c r="P78" i="24"/>
  <c r="X78" i="24" s="1"/>
  <c r="H78" i="24"/>
  <c r="D78" i="24"/>
  <c r="L78" i="24" s="1"/>
  <c r="B78" i="24"/>
  <c r="Z77" i="24"/>
  <c r="X77" i="24"/>
  <c r="V77" i="24"/>
  <c r="N77" i="24"/>
  <c r="L77" i="24"/>
  <c r="B77" i="24"/>
  <c r="X76" i="24"/>
  <c r="Z76" i="24" s="1"/>
  <c r="L76" i="24"/>
  <c r="N76" i="24" s="1"/>
  <c r="B76" i="24"/>
  <c r="V75" i="24"/>
  <c r="T75" i="24"/>
  <c r="P75" i="24"/>
  <c r="H75" i="24"/>
  <c r="D75" i="24"/>
  <c r="B75" i="24"/>
  <c r="X74" i="24"/>
  <c r="Z74" i="24" s="1"/>
  <c r="V74" i="24"/>
  <c r="L74" i="24"/>
  <c r="N74" i="24" s="1"/>
  <c r="B74" i="24"/>
  <c r="Z73" i="24"/>
  <c r="X73" i="24"/>
  <c r="V73" i="24"/>
  <c r="N73" i="24"/>
  <c r="L73" i="24"/>
  <c r="B73" i="24"/>
  <c r="Z72" i="24"/>
  <c r="X72" i="24"/>
  <c r="V72" i="24"/>
  <c r="N72" i="24"/>
  <c r="L72" i="24"/>
  <c r="B72" i="24"/>
  <c r="Z71" i="24"/>
  <c r="X71" i="24"/>
  <c r="V71" i="24"/>
  <c r="N71" i="24"/>
  <c r="L71" i="24"/>
  <c r="B71" i="24"/>
  <c r="T70" i="24"/>
  <c r="P70" i="24"/>
  <c r="H70" i="24"/>
  <c r="D70" i="24"/>
  <c r="B70" i="24"/>
  <c r="Z69" i="24"/>
  <c r="X69" i="24"/>
  <c r="V69" i="24"/>
  <c r="L69" i="24"/>
  <c r="N69" i="24" s="1"/>
  <c r="B69" i="24"/>
  <c r="Z68" i="24"/>
  <c r="X68" i="24"/>
  <c r="V68" i="24"/>
  <c r="N68" i="24"/>
  <c r="L68" i="24"/>
  <c r="B68" i="24"/>
  <c r="Z67" i="24"/>
  <c r="X67" i="24"/>
  <c r="V67" i="24"/>
  <c r="T67" i="24"/>
  <c r="P67" i="24"/>
  <c r="N67" i="24"/>
  <c r="L67" i="24"/>
  <c r="H67" i="24"/>
  <c r="D67" i="24"/>
  <c r="B67" i="24"/>
  <c r="X66" i="24"/>
  <c r="Z66" i="24" s="1"/>
  <c r="L66" i="24"/>
  <c r="N66" i="24" s="1"/>
  <c r="B66" i="24"/>
  <c r="Z65" i="24"/>
  <c r="X65" i="24"/>
  <c r="V65" i="24"/>
  <c r="N65" i="24"/>
  <c r="L65" i="24"/>
  <c r="B65" i="24"/>
  <c r="X64" i="24"/>
  <c r="Z64" i="24" s="1"/>
  <c r="T64" i="24"/>
  <c r="P64" i="24"/>
  <c r="L64" i="24"/>
  <c r="N64" i="24" s="1"/>
  <c r="H64" i="24"/>
  <c r="D64" i="24"/>
  <c r="B64" i="24"/>
  <c r="Z63" i="24"/>
  <c r="X63" i="24"/>
  <c r="V63" i="24"/>
  <c r="N63" i="24"/>
  <c r="L63" i="24"/>
  <c r="B63" i="24"/>
  <c r="X62" i="24"/>
  <c r="T62" i="24"/>
  <c r="Z62" i="24" s="1"/>
  <c r="P62" i="24"/>
  <c r="H62" i="24"/>
  <c r="D62" i="24"/>
  <c r="B62" i="24"/>
  <c r="Z61" i="24"/>
  <c r="X61" i="24"/>
  <c r="V61" i="24"/>
  <c r="N61" i="24"/>
  <c r="L61" i="24"/>
  <c r="B61" i="24"/>
  <c r="T60" i="24"/>
  <c r="P60" i="24"/>
  <c r="X60" i="24" s="1"/>
  <c r="H60" i="24"/>
  <c r="N60" i="24" s="1"/>
  <c r="D60" i="24"/>
  <c r="L60" i="24" s="1"/>
  <c r="B60" i="24"/>
  <c r="X59" i="24"/>
  <c r="Z59" i="24" s="1"/>
  <c r="V59" i="24"/>
  <c r="N59" i="24"/>
  <c r="L59" i="24"/>
  <c r="B59" i="24"/>
  <c r="T58" i="24"/>
  <c r="P58" i="24"/>
  <c r="X58" i="24" s="1"/>
  <c r="Z58" i="24" s="1"/>
  <c r="H58" i="24"/>
  <c r="D58" i="24"/>
  <c r="L58" i="24" s="1"/>
  <c r="N58" i="24" s="1"/>
  <c r="B58" i="24"/>
  <c r="Z57" i="24"/>
  <c r="X57" i="24"/>
  <c r="V57" i="24"/>
  <c r="N57" i="24"/>
  <c r="L57" i="24"/>
  <c r="B57" i="24"/>
  <c r="T56" i="24"/>
  <c r="X56" i="24" s="1"/>
  <c r="P56" i="24"/>
  <c r="L56" i="24"/>
  <c r="H56" i="24"/>
  <c r="D56" i="24"/>
  <c r="B56" i="24"/>
  <c r="Z55" i="24"/>
  <c r="X55" i="24"/>
  <c r="V55" i="24"/>
  <c r="L55" i="24"/>
  <c r="N55" i="24" s="1"/>
  <c r="B55" i="24"/>
  <c r="T54" i="24"/>
  <c r="P54" i="24"/>
  <c r="X54" i="24" s="1"/>
  <c r="H54" i="24"/>
  <c r="D54" i="24"/>
  <c r="B54" i="24"/>
  <c r="Z53" i="24"/>
  <c r="X53" i="24"/>
  <c r="V53" i="24"/>
  <c r="N53" i="24"/>
  <c r="L53" i="24"/>
  <c r="B53" i="24"/>
  <c r="Z52" i="24"/>
  <c r="T52" i="24"/>
  <c r="P52" i="24"/>
  <c r="X52" i="24" s="1"/>
  <c r="N52" i="24"/>
  <c r="L52" i="24"/>
  <c r="H52" i="24"/>
  <c r="D52" i="24"/>
  <c r="B52" i="24"/>
  <c r="Z51" i="24"/>
  <c r="X51" i="24"/>
  <c r="V51" i="24"/>
  <c r="N51" i="24"/>
  <c r="L51" i="24"/>
  <c r="B51" i="24"/>
  <c r="T50" i="24"/>
  <c r="P50" i="24"/>
  <c r="H50" i="24"/>
  <c r="D50" i="24"/>
  <c r="B50" i="24"/>
  <c r="Z49" i="24"/>
  <c r="X49" i="24"/>
  <c r="V49" i="24"/>
  <c r="N49" i="24"/>
  <c r="L49" i="24"/>
  <c r="B49" i="24"/>
  <c r="Z48" i="24"/>
  <c r="X48" i="24"/>
  <c r="V48" i="24"/>
  <c r="N48" i="24"/>
  <c r="L48" i="24"/>
  <c r="B48" i="24"/>
  <c r="Z47" i="24"/>
  <c r="X47" i="24"/>
  <c r="V47" i="24"/>
  <c r="L47" i="24"/>
  <c r="N47" i="24" s="1"/>
  <c r="J47" i="24"/>
  <c r="B47" i="24"/>
  <c r="Z46" i="24"/>
  <c r="X46" i="24"/>
  <c r="V46" i="24"/>
  <c r="N46" i="24"/>
  <c r="L46" i="24"/>
  <c r="B46" i="24"/>
  <c r="Z45" i="24"/>
  <c r="X45" i="24"/>
  <c r="V45" i="24"/>
  <c r="N45" i="24"/>
  <c r="L45" i="24"/>
  <c r="B45" i="24"/>
  <c r="Z44" i="24"/>
  <c r="X44" i="24"/>
  <c r="V44" i="24"/>
  <c r="N44" i="24"/>
  <c r="L44" i="24"/>
  <c r="B44" i="24"/>
  <c r="Z43" i="24"/>
  <c r="X43" i="24"/>
  <c r="V43" i="24"/>
  <c r="L43" i="24"/>
  <c r="N43" i="24" s="1"/>
  <c r="B43" i="24"/>
  <c r="Z42" i="24"/>
  <c r="X42" i="24"/>
  <c r="V42" i="24"/>
  <c r="N42" i="24"/>
  <c r="L42" i="24"/>
  <c r="B42" i="24"/>
  <c r="Z41" i="24"/>
  <c r="X41" i="24"/>
  <c r="V41" i="24"/>
  <c r="N41" i="24"/>
  <c r="L41" i="24"/>
  <c r="B41" i="24"/>
  <c r="X40" i="24"/>
  <c r="Z40" i="24" s="1"/>
  <c r="V40" i="24"/>
  <c r="L40" i="24"/>
  <c r="N40" i="24" s="1"/>
  <c r="B40" i="24"/>
  <c r="Z39" i="24"/>
  <c r="X39" i="24"/>
  <c r="V39" i="24"/>
  <c r="T39" i="24"/>
  <c r="P39" i="24"/>
  <c r="N39" i="24"/>
  <c r="L39" i="24"/>
  <c r="H39" i="24"/>
  <c r="D39" i="24"/>
  <c r="B39" i="24"/>
  <c r="X38" i="24"/>
  <c r="Z38" i="24" s="1"/>
  <c r="L38" i="24"/>
  <c r="N38" i="24" s="1"/>
  <c r="B38" i="24"/>
  <c r="X37" i="24"/>
  <c r="Z37" i="24" s="1"/>
  <c r="V37" i="24"/>
  <c r="N37" i="24"/>
  <c r="L37" i="24"/>
  <c r="B37" i="24"/>
  <c r="Z36" i="24"/>
  <c r="X36" i="24"/>
  <c r="N36" i="24"/>
  <c r="L36" i="24"/>
  <c r="B36" i="24"/>
  <c r="X35" i="24"/>
  <c r="Z35" i="24" s="1"/>
  <c r="V35" i="24"/>
  <c r="N35" i="24"/>
  <c r="L35" i="24"/>
  <c r="B35" i="24"/>
  <c r="X34" i="24"/>
  <c r="Z34" i="24" s="1"/>
  <c r="L34" i="24"/>
  <c r="N34" i="24" s="1"/>
  <c r="J34" i="24"/>
  <c r="B34" i="24"/>
  <c r="X33" i="24"/>
  <c r="Z33" i="24" s="1"/>
  <c r="V33" i="24"/>
  <c r="N33" i="24"/>
  <c r="L33" i="24"/>
  <c r="B33" i="24"/>
  <c r="X32" i="24"/>
  <c r="Z32" i="24" s="1"/>
  <c r="L32" i="24"/>
  <c r="N32" i="24" s="1"/>
  <c r="J32" i="24"/>
  <c r="B32" i="24"/>
  <c r="X31" i="24"/>
  <c r="Z31" i="24" s="1"/>
  <c r="V31" i="24"/>
  <c r="N31" i="24"/>
  <c r="L31" i="24"/>
  <c r="B31" i="24"/>
  <c r="T30" i="24"/>
  <c r="P30" i="24"/>
  <c r="X30" i="24" s="1"/>
  <c r="Z30" i="24" s="1"/>
  <c r="L30" i="24"/>
  <c r="N30" i="24" s="1"/>
  <c r="H30" i="24"/>
  <c r="D30" i="24"/>
  <c r="B30" i="24"/>
  <c r="Z29" i="24"/>
  <c r="T29" i="24"/>
  <c r="V29" i="24" s="1"/>
  <c r="P29" i="24"/>
  <c r="X29" i="24" s="1"/>
  <c r="H29" i="24"/>
  <c r="D29" i="24"/>
  <c r="L29" i="24" s="1"/>
  <c r="N29" i="24" s="1"/>
  <c r="Z25" i="24"/>
  <c r="X25" i="24"/>
  <c r="V25" i="24"/>
  <c r="N25" i="24"/>
  <c r="L25" i="24"/>
  <c r="B25" i="24"/>
  <c r="Z24" i="24"/>
  <c r="X24" i="24"/>
  <c r="V24" i="24"/>
  <c r="N24" i="24"/>
  <c r="L24" i="24"/>
  <c r="J24" i="24"/>
  <c r="B24" i="24"/>
  <c r="Z23" i="24"/>
  <c r="X23" i="24"/>
  <c r="V23" i="24"/>
  <c r="L23" i="24"/>
  <c r="N23" i="24" s="1"/>
  <c r="B23" i="24"/>
  <c r="V22" i="24"/>
  <c r="T22" i="24"/>
  <c r="P22" i="24"/>
  <c r="J22" i="24"/>
  <c r="H22" i="24"/>
  <c r="D22" i="24"/>
  <c r="Z20" i="24"/>
  <c r="P20" i="24"/>
  <c r="X20" i="24" s="1"/>
  <c r="N20" i="24"/>
  <c r="D20" i="24"/>
  <c r="L20" i="24" s="1"/>
  <c r="B20" i="24"/>
  <c r="Z19" i="24"/>
  <c r="P19" i="24"/>
  <c r="X19" i="24" s="1"/>
  <c r="N19" i="24"/>
  <c r="D19" i="24"/>
  <c r="L19" i="24" s="1"/>
  <c r="B19" i="24"/>
  <c r="Z18" i="24"/>
  <c r="X18" i="24"/>
  <c r="P18" i="24"/>
  <c r="N18" i="24"/>
  <c r="D18" i="24"/>
  <c r="L18" i="24" s="1"/>
  <c r="B18" i="24"/>
  <c r="P17" i="24"/>
  <c r="X17" i="24" s="1"/>
  <c r="Z17" i="24" s="1"/>
  <c r="D17" i="24"/>
  <c r="L17" i="24" s="1"/>
  <c r="N17" i="24" s="1"/>
  <c r="B17" i="24"/>
  <c r="Z16" i="24"/>
  <c r="P16" i="24"/>
  <c r="X16" i="24" s="1"/>
  <c r="N16" i="24"/>
  <c r="D16" i="24"/>
  <c r="L16" i="24" s="1"/>
  <c r="B16" i="24"/>
  <c r="Z15" i="24"/>
  <c r="P15" i="24"/>
  <c r="X15" i="24" s="1"/>
  <c r="N15" i="24"/>
  <c r="L15" i="24"/>
  <c r="D15" i="24"/>
  <c r="B15" i="24"/>
  <c r="Z14" i="24"/>
  <c r="P14" i="24"/>
  <c r="X14" i="24" s="1"/>
  <c r="N14" i="24"/>
  <c r="D14" i="24"/>
  <c r="L14" i="24" s="1"/>
  <c r="B14" i="24"/>
  <c r="Z13" i="24"/>
  <c r="X13" i="24"/>
  <c r="P13" i="24"/>
  <c r="N13" i="24"/>
  <c r="D13" i="24"/>
  <c r="L13" i="24" s="1"/>
  <c r="B13" i="24"/>
  <c r="T12" i="24"/>
  <c r="V66" i="24" s="1"/>
  <c r="H12" i="24"/>
  <c r="J43" i="24" s="1"/>
  <c r="D4" i="24"/>
  <c r="X96" i="21"/>
  <c r="Z96" i="21" s="1"/>
  <c r="V96" i="21"/>
  <c r="L96" i="21"/>
  <c r="N96" i="21" s="1"/>
  <c r="T92" i="21"/>
  <c r="Z92" i="21" s="1"/>
  <c r="P92" i="21"/>
  <c r="H92" i="21"/>
  <c r="N92" i="21" s="1"/>
  <c r="D92" i="21"/>
  <c r="L92" i="21" s="1"/>
  <c r="Z90" i="21"/>
  <c r="X90" i="21"/>
  <c r="L90" i="21"/>
  <c r="N90" i="21" s="1"/>
  <c r="B90" i="21"/>
  <c r="T89" i="21"/>
  <c r="X89" i="21" s="1"/>
  <c r="P89" i="21"/>
  <c r="H89" i="21"/>
  <c r="L89" i="21" s="1"/>
  <c r="N89" i="21" s="1"/>
  <c r="D89" i="21"/>
  <c r="B89" i="21"/>
  <c r="Z88" i="21"/>
  <c r="X88" i="21"/>
  <c r="V88" i="21"/>
  <c r="L88" i="21"/>
  <c r="N88" i="21" s="1"/>
  <c r="B88" i="21"/>
  <c r="T87" i="21"/>
  <c r="P87" i="21"/>
  <c r="X87" i="21" s="1"/>
  <c r="H87" i="21"/>
  <c r="D87" i="21"/>
  <c r="B87" i="21"/>
  <c r="X86" i="21"/>
  <c r="Z86" i="21" s="1"/>
  <c r="V86" i="21"/>
  <c r="N86" i="21"/>
  <c r="L86" i="21"/>
  <c r="B86" i="21"/>
  <c r="X85" i="21"/>
  <c r="Z85" i="21" s="1"/>
  <c r="L85" i="21"/>
  <c r="N85" i="21" s="1"/>
  <c r="B85" i="21"/>
  <c r="X84" i="21"/>
  <c r="T84" i="21"/>
  <c r="P84" i="21"/>
  <c r="L84" i="21"/>
  <c r="H84" i="21"/>
  <c r="D84" i="21"/>
  <c r="B84" i="21"/>
  <c r="X83" i="21"/>
  <c r="Z83" i="21" s="1"/>
  <c r="L83" i="21"/>
  <c r="N83" i="21" s="1"/>
  <c r="B83" i="21"/>
  <c r="Z82" i="21"/>
  <c r="X82" i="21"/>
  <c r="L82" i="21"/>
  <c r="N82" i="21" s="1"/>
  <c r="B82" i="21"/>
  <c r="X81" i="21"/>
  <c r="Z81" i="21" s="1"/>
  <c r="V81" i="21"/>
  <c r="L81" i="21"/>
  <c r="N81" i="21" s="1"/>
  <c r="B81" i="21"/>
  <c r="Z80" i="21"/>
  <c r="X80" i="21"/>
  <c r="N80" i="21"/>
  <c r="L80" i="21"/>
  <c r="B80" i="21"/>
  <c r="X79" i="21"/>
  <c r="Z79" i="21" s="1"/>
  <c r="L79" i="21"/>
  <c r="N79" i="21" s="1"/>
  <c r="B79" i="21"/>
  <c r="T78" i="21"/>
  <c r="Z78" i="21" s="1"/>
  <c r="P78" i="21"/>
  <c r="X78" i="21" s="1"/>
  <c r="H78" i="21"/>
  <c r="D78" i="21"/>
  <c r="B78" i="21"/>
  <c r="X77" i="21"/>
  <c r="Z77" i="21" s="1"/>
  <c r="V77" i="21"/>
  <c r="L77" i="21"/>
  <c r="N77" i="21" s="1"/>
  <c r="B77" i="21"/>
  <c r="Z76" i="21"/>
  <c r="X76" i="21"/>
  <c r="V76" i="21"/>
  <c r="T76" i="21"/>
  <c r="P76" i="21"/>
  <c r="L76" i="21"/>
  <c r="N76" i="21" s="1"/>
  <c r="H76" i="21"/>
  <c r="D76" i="21"/>
  <c r="B76" i="21"/>
  <c r="X75" i="21"/>
  <c r="Z75" i="21" s="1"/>
  <c r="L75" i="21"/>
  <c r="N75" i="21" s="1"/>
  <c r="B75" i="21"/>
  <c r="X74" i="21"/>
  <c r="Z74" i="21" s="1"/>
  <c r="V74" i="21"/>
  <c r="N74" i="21"/>
  <c r="L74" i="21"/>
  <c r="B74" i="21"/>
  <c r="X73" i="21"/>
  <c r="Z73" i="21" s="1"/>
  <c r="N73" i="21"/>
  <c r="L73" i="21"/>
  <c r="B73" i="21"/>
  <c r="X72" i="21"/>
  <c r="Z72" i="21" s="1"/>
  <c r="N72" i="21"/>
  <c r="L72" i="21"/>
  <c r="B72" i="21"/>
  <c r="T71" i="21"/>
  <c r="P71" i="21"/>
  <c r="X71" i="21" s="1"/>
  <c r="Z71" i="21" s="1"/>
  <c r="H71" i="21"/>
  <c r="D71" i="21"/>
  <c r="L71" i="21" s="1"/>
  <c r="N71" i="21" s="1"/>
  <c r="B71" i="21"/>
  <c r="Z70" i="21"/>
  <c r="X70" i="21"/>
  <c r="L70" i="21"/>
  <c r="N70" i="21" s="1"/>
  <c r="B70" i="21"/>
  <c r="T69" i="21"/>
  <c r="P69" i="21"/>
  <c r="H69" i="21"/>
  <c r="D69" i="21"/>
  <c r="L69" i="21" s="1"/>
  <c r="N69" i="21" s="1"/>
  <c r="B69" i="21"/>
  <c r="Z68" i="21"/>
  <c r="X68" i="21"/>
  <c r="V68" i="21"/>
  <c r="L68" i="21"/>
  <c r="N68" i="21" s="1"/>
  <c r="B68" i="21"/>
  <c r="Z67" i="21"/>
  <c r="X67" i="21"/>
  <c r="V67" i="21"/>
  <c r="N67" i="21"/>
  <c r="L67" i="21"/>
  <c r="B67" i="21"/>
  <c r="Z66" i="21"/>
  <c r="X66" i="21"/>
  <c r="V66" i="21"/>
  <c r="T66" i="21"/>
  <c r="P66" i="21"/>
  <c r="H66" i="21"/>
  <c r="D66" i="21"/>
  <c r="L66" i="21" s="1"/>
  <c r="N66" i="21" s="1"/>
  <c r="B66" i="21"/>
  <c r="Z65" i="21"/>
  <c r="X65" i="21"/>
  <c r="N65" i="21"/>
  <c r="L65" i="21"/>
  <c r="B65" i="21"/>
  <c r="T64" i="21"/>
  <c r="Z64" i="21" s="1"/>
  <c r="P64" i="21"/>
  <c r="H64" i="21"/>
  <c r="N64" i="21" s="1"/>
  <c r="D64" i="21"/>
  <c r="B64" i="21"/>
  <c r="X63" i="21"/>
  <c r="Z63" i="21" s="1"/>
  <c r="V63" i="21"/>
  <c r="L63" i="21"/>
  <c r="N63" i="21" s="1"/>
  <c r="B63" i="21"/>
  <c r="Z62" i="21"/>
  <c r="T62" i="21"/>
  <c r="P62" i="21"/>
  <c r="X62" i="21" s="1"/>
  <c r="N62" i="21"/>
  <c r="H62" i="21"/>
  <c r="D62" i="21"/>
  <c r="L62" i="21" s="1"/>
  <c r="B62" i="21"/>
  <c r="X61" i="21"/>
  <c r="Z61" i="21" s="1"/>
  <c r="V61" i="21"/>
  <c r="L61" i="21"/>
  <c r="N61" i="21" s="1"/>
  <c r="B61" i="21"/>
  <c r="V60" i="21"/>
  <c r="T60" i="21"/>
  <c r="P60" i="21"/>
  <c r="X60" i="21" s="1"/>
  <c r="Z60" i="21" s="1"/>
  <c r="H60" i="21"/>
  <c r="D60" i="21"/>
  <c r="L60" i="21" s="1"/>
  <c r="N60" i="21" s="1"/>
  <c r="B60" i="21"/>
  <c r="X59" i="21"/>
  <c r="Z59" i="21" s="1"/>
  <c r="N59" i="21"/>
  <c r="L59" i="21"/>
  <c r="B59" i="21"/>
  <c r="T58" i="21"/>
  <c r="P58" i="21"/>
  <c r="H58" i="21"/>
  <c r="N58" i="21" s="1"/>
  <c r="D58" i="21"/>
  <c r="B58" i="21"/>
  <c r="Z57" i="21"/>
  <c r="X57" i="21"/>
  <c r="V57" i="21"/>
  <c r="N57" i="21"/>
  <c r="L57" i="21"/>
  <c r="B57" i="21"/>
  <c r="T56" i="21"/>
  <c r="V56" i="21" s="1"/>
  <c r="P56" i="21"/>
  <c r="X56" i="21" s="1"/>
  <c r="N56" i="21"/>
  <c r="H56" i="21"/>
  <c r="D56" i="21"/>
  <c r="L56" i="21" s="1"/>
  <c r="B56" i="21"/>
  <c r="X55" i="21"/>
  <c r="Z55" i="21" s="1"/>
  <c r="L55" i="21"/>
  <c r="N55" i="21" s="1"/>
  <c r="B55" i="21"/>
  <c r="Z54" i="21"/>
  <c r="X54" i="21"/>
  <c r="V54" i="21"/>
  <c r="N54" i="21"/>
  <c r="L54" i="21"/>
  <c r="B54" i="21"/>
  <c r="T53" i="21"/>
  <c r="P53" i="21"/>
  <c r="H53" i="21"/>
  <c r="D53" i="21"/>
  <c r="L53" i="21" s="1"/>
  <c r="B53" i="21"/>
  <c r="X52" i="21"/>
  <c r="Z52" i="21" s="1"/>
  <c r="V52" i="21"/>
  <c r="N52" i="21"/>
  <c r="L52" i="21"/>
  <c r="B52" i="21"/>
  <c r="X51" i="21"/>
  <c r="Z51" i="21" s="1"/>
  <c r="T51" i="21"/>
  <c r="P51" i="21"/>
  <c r="H51" i="21"/>
  <c r="D51" i="21"/>
  <c r="B51" i="21"/>
  <c r="Z50" i="21"/>
  <c r="X50" i="21"/>
  <c r="V50" i="21"/>
  <c r="L50" i="21"/>
  <c r="N50" i="21" s="1"/>
  <c r="B50" i="21"/>
  <c r="V49" i="21"/>
  <c r="T49" i="21"/>
  <c r="P49" i="21"/>
  <c r="X49" i="21" s="1"/>
  <c r="Z49" i="21" s="1"/>
  <c r="L49" i="21"/>
  <c r="N49" i="21" s="1"/>
  <c r="H49" i="21"/>
  <c r="D49" i="21"/>
  <c r="B49" i="21"/>
  <c r="Z48" i="21"/>
  <c r="X48" i="21"/>
  <c r="N48" i="21"/>
  <c r="L48" i="21"/>
  <c r="B48" i="21"/>
  <c r="T47" i="21"/>
  <c r="P47" i="21"/>
  <c r="X47" i="21" s="1"/>
  <c r="L47" i="21"/>
  <c r="H47" i="21"/>
  <c r="D47" i="21"/>
  <c r="B47" i="21"/>
  <c r="Z46" i="21"/>
  <c r="X46" i="21"/>
  <c r="V46" i="21"/>
  <c r="N46" i="21"/>
  <c r="L46" i="21"/>
  <c r="J46" i="21"/>
  <c r="B46" i="21"/>
  <c r="Z45" i="21"/>
  <c r="X45" i="21"/>
  <c r="N45" i="21"/>
  <c r="L45" i="21"/>
  <c r="B45" i="21"/>
  <c r="X44" i="21"/>
  <c r="Z44" i="21" s="1"/>
  <c r="N44" i="21"/>
  <c r="L44" i="21"/>
  <c r="B44" i="21"/>
  <c r="X43" i="21"/>
  <c r="Z43" i="21" s="1"/>
  <c r="L43" i="21"/>
  <c r="N43" i="21" s="1"/>
  <c r="B43" i="21"/>
  <c r="Z42" i="21"/>
  <c r="X42" i="21"/>
  <c r="V42" i="21"/>
  <c r="N42" i="21"/>
  <c r="L42" i="21"/>
  <c r="B42" i="21"/>
  <c r="X41" i="21"/>
  <c r="Z41" i="21" s="1"/>
  <c r="N41" i="21"/>
  <c r="L41" i="21"/>
  <c r="J41" i="21"/>
  <c r="B41" i="21"/>
  <c r="X40" i="21"/>
  <c r="Z40" i="21" s="1"/>
  <c r="V40" i="21"/>
  <c r="N40" i="21"/>
  <c r="L40" i="21"/>
  <c r="B40" i="21"/>
  <c r="Z39" i="21"/>
  <c r="X39" i="21"/>
  <c r="N39" i="21"/>
  <c r="L39" i="21"/>
  <c r="J39" i="21"/>
  <c r="B39" i="21"/>
  <c r="Z38" i="21"/>
  <c r="X38" i="21"/>
  <c r="V38" i="21"/>
  <c r="N38" i="21"/>
  <c r="L38" i="21"/>
  <c r="B38" i="21"/>
  <c r="X37" i="21"/>
  <c r="Z37" i="21" s="1"/>
  <c r="N37" i="21"/>
  <c r="L37" i="21"/>
  <c r="B37" i="21"/>
  <c r="T36" i="21"/>
  <c r="X36" i="21" s="1"/>
  <c r="P36" i="21"/>
  <c r="H36" i="21"/>
  <c r="D36" i="21"/>
  <c r="B36" i="21"/>
  <c r="X35" i="21"/>
  <c r="Z35" i="21" s="1"/>
  <c r="V35" i="21"/>
  <c r="L35" i="21"/>
  <c r="N35" i="21" s="1"/>
  <c r="B35" i="21"/>
  <c r="Z34" i="21"/>
  <c r="X34" i="21"/>
  <c r="V34" i="21"/>
  <c r="L34" i="21"/>
  <c r="N34" i="21" s="1"/>
  <c r="B34" i="21"/>
  <c r="Z33" i="21"/>
  <c r="X33" i="21"/>
  <c r="V33" i="21"/>
  <c r="L33" i="21"/>
  <c r="N33" i="21" s="1"/>
  <c r="B33" i="21"/>
  <c r="Z32" i="21"/>
  <c r="X32" i="21"/>
  <c r="V32" i="21"/>
  <c r="N32" i="21"/>
  <c r="L32" i="21"/>
  <c r="B32" i="21"/>
  <c r="Z31" i="21"/>
  <c r="X31" i="21"/>
  <c r="V31" i="21"/>
  <c r="L31" i="21"/>
  <c r="N31" i="21" s="1"/>
  <c r="B31" i="21"/>
  <c r="Z30" i="21"/>
  <c r="X30" i="21"/>
  <c r="V30" i="21"/>
  <c r="N30" i="21"/>
  <c r="L30" i="21"/>
  <c r="J30" i="21"/>
  <c r="B30" i="21"/>
  <c r="X29" i="21"/>
  <c r="Z29" i="21" s="1"/>
  <c r="V29" i="21"/>
  <c r="L29" i="21"/>
  <c r="N29" i="21" s="1"/>
  <c r="B29" i="21"/>
  <c r="Z28" i="21"/>
  <c r="X28" i="21"/>
  <c r="V28" i="21"/>
  <c r="L28" i="21"/>
  <c r="N28" i="21" s="1"/>
  <c r="B28" i="21"/>
  <c r="Z27" i="21"/>
  <c r="X27" i="21"/>
  <c r="V27" i="21"/>
  <c r="L27" i="21"/>
  <c r="N27" i="21" s="1"/>
  <c r="B27" i="21"/>
  <c r="T26" i="21"/>
  <c r="Z26" i="21" s="1"/>
  <c r="P26" i="21"/>
  <c r="X26" i="21" s="1"/>
  <c r="H26" i="21"/>
  <c r="N26" i="21" s="1"/>
  <c r="D26" i="21"/>
  <c r="L26" i="21" s="1"/>
  <c r="B26" i="21"/>
  <c r="T25" i="21"/>
  <c r="P25" i="21"/>
  <c r="X25" i="21" s="1"/>
  <c r="H25" i="21"/>
  <c r="D25" i="21"/>
  <c r="L25" i="21" s="1"/>
  <c r="J23" i="21"/>
  <c r="H23" i="21"/>
  <c r="H94" i="21" s="1"/>
  <c r="Z21" i="21"/>
  <c r="X21" i="21"/>
  <c r="V21" i="21"/>
  <c r="N21" i="21"/>
  <c r="L21" i="21"/>
  <c r="B21" i="21"/>
  <c r="Z20" i="21"/>
  <c r="X20" i="21"/>
  <c r="N20" i="21"/>
  <c r="L20" i="21"/>
  <c r="J20" i="21"/>
  <c r="B20" i="21"/>
  <c r="X19" i="21"/>
  <c r="Z19" i="21" s="1"/>
  <c r="V19" i="21"/>
  <c r="L19" i="21"/>
  <c r="N19" i="21" s="1"/>
  <c r="B19" i="21"/>
  <c r="Z18" i="21"/>
  <c r="X18" i="21"/>
  <c r="V18" i="21"/>
  <c r="T18" i="21"/>
  <c r="P18" i="21"/>
  <c r="L18" i="21"/>
  <c r="N18" i="21" s="1"/>
  <c r="H18" i="21"/>
  <c r="D18" i="21"/>
  <c r="Z16" i="21"/>
  <c r="P16" i="21"/>
  <c r="X16" i="21" s="1"/>
  <c r="N16" i="21"/>
  <c r="L16" i="21"/>
  <c r="D16" i="21"/>
  <c r="B16" i="21"/>
  <c r="Z15" i="21"/>
  <c r="X15" i="21"/>
  <c r="P15" i="21"/>
  <c r="N15" i="21"/>
  <c r="D15" i="21"/>
  <c r="L15" i="21" s="1"/>
  <c r="B15" i="21"/>
  <c r="Z14" i="21"/>
  <c r="P14" i="21"/>
  <c r="X14" i="21" s="1"/>
  <c r="D14" i="21"/>
  <c r="L14" i="21" s="1"/>
  <c r="N14" i="21" s="1"/>
  <c r="B14" i="21"/>
  <c r="Z13" i="21"/>
  <c r="X13" i="21"/>
  <c r="P13" i="21"/>
  <c r="P12" i="21" s="1"/>
  <c r="N13" i="21"/>
  <c r="L13" i="21"/>
  <c r="D13" i="21"/>
  <c r="B13" i="21"/>
  <c r="T12" i="21"/>
  <c r="H12" i="21"/>
  <c r="J76" i="21" s="1"/>
  <c r="D12" i="21"/>
  <c r="F39" i="21" s="1"/>
  <c r="D4" i="21"/>
  <c r="X225" i="18"/>
  <c r="Z225" i="18" s="1"/>
  <c r="L225" i="18"/>
  <c r="N225" i="18" s="1"/>
  <c r="Z221" i="18"/>
  <c r="X221" i="18"/>
  <c r="P221" i="18"/>
  <c r="N221" i="18"/>
  <c r="D221" i="18"/>
  <c r="L221" i="18" s="1"/>
  <c r="B221" i="18"/>
  <c r="Z220" i="18"/>
  <c r="P220" i="18"/>
  <c r="X220" i="18" s="1"/>
  <c r="N220" i="18"/>
  <c r="L220" i="18"/>
  <c r="D220" i="18"/>
  <c r="B220" i="18"/>
  <c r="P219" i="18"/>
  <c r="X219" i="18" s="1"/>
  <c r="Z219" i="18" s="1"/>
  <c r="D219" i="18"/>
  <c r="L219" i="18" s="1"/>
  <c r="N219" i="18" s="1"/>
  <c r="B219" i="18"/>
  <c r="P218" i="18"/>
  <c r="X218" i="18" s="1"/>
  <c r="Z218" i="18" s="1"/>
  <c r="N218" i="18"/>
  <c r="L218" i="18"/>
  <c r="D218" i="18"/>
  <c r="B218" i="18"/>
  <c r="Z217" i="18"/>
  <c r="X217" i="18"/>
  <c r="P217" i="18"/>
  <c r="N217" i="18"/>
  <c r="L217" i="18"/>
  <c r="D217" i="18"/>
  <c r="D216" i="18" s="1"/>
  <c r="L216" i="18" s="1"/>
  <c r="N216" i="18" s="1"/>
  <c r="B217" i="18"/>
  <c r="T216" i="18"/>
  <c r="H216" i="18"/>
  <c r="Z214" i="18"/>
  <c r="X214" i="18"/>
  <c r="L214" i="18"/>
  <c r="N214" i="18" s="1"/>
  <c r="B214" i="18"/>
  <c r="T213" i="18"/>
  <c r="P213" i="18"/>
  <c r="X213" i="18" s="1"/>
  <c r="H213" i="18"/>
  <c r="N213" i="18" s="1"/>
  <c r="D213" i="18"/>
  <c r="L213" i="18" s="1"/>
  <c r="B213" i="18"/>
  <c r="Z212" i="18"/>
  <c r="X212" i="18"/>
  <c r="N212" i="18"/>
  <c r="L212" i="18"/>
  <c r="B212" i="18"/>
  <c r="Z211" i="18"/>
  <c r="X211" i="18"/>
  <c r="L211" i="18"/>
  <c r="N211" i="18" s="1"/>
  <c r="B211" i="18"/>
  <c r="Z210" i="18"/>
  <c r="X210" i="18"/>
  <c r="N210" i="18"/>
  <c r="L210" i="18"/>
  <c r="B210" i="18"/>
  <c r="X209" i="18"/>
  <c r="Z209" i="18" s="1"/>
  <c r="T209" i="18"/>
  <c r="P209" i="18"/>
  <c r="N209" i="18"/>
  <c r="L209" i="18"/>
  <c r="H209" i="18"/>
  <c r="D209" i="18"/>
  <c r="B209" i="18"/>
  <c r="Z208" i="18"/>
  <c r="X208" i="18"/>
  <c r="L208" i="18"/>
  <c r="N208" i="18" s="1"/>
  <c r="B208" i="18"/>
  <c r="T207" i="18"/>
  <c r="P207" i="18"/>
  <c r="H207" i="18"/>
  <c r="D207" i="18"/>
  <c r="L207" i="18" s="1"/>
  <c r="B207" i="18"/>
  <c r="Z206" i="18"/>
  <c r="X206" i="18"/>
  <c r="L206" i="18"/>
  <c r="N206" i="18" s="1"/>
  <c r="B206" i="18"/>
  <c r="X205" i="18"/>
  <c r="Z205" i="18" s="1"/>
  <c r="L205" i="18"/>
  <c r="N205" i="18" s="1"/>
  <c r="B205" i="18"/>
  <c r="X204" i="18"/>
  <c r="Z204" i="18" s="1"/>
  <c r="T204" i="18"/>
  <c r="P204" i="18"/>
  <c r="N204" i="18"/>
  <c r="L204" i="18"/>
  <c r="H204" i="18"/>
  <c r="D204" i="18"/>
  <c r="B204" i="18"/>
  <c r="Z203" i="18"/>
  <c r="X203" i="18"/>
  <c r="L203" i="18"/>
  <c r="N203" i="18" s="1"/>
  <c r="B203" i="18"/>
  <c r="X202" i="18"/>
  <c r="Z202" i="18" s="1"/>
  <c r="N202" i="18"/>
  <c r="L202" i="18"/>
  <c r="B202" i="18"/>
  <c r="X201" i="18"/>
  <c r="Z201" i="18" s="1"/>
  <c r="L201" i="18"/>
  <c r="N201" i="18" s="1"/>
  <c r="B201" i="18"/>
  <c r="Z200" i="18"/>
  <c r="X200" i="18"/>
  <c r="N200" i="18"/>
  <c r="L200" i="18"/>
  <c r="B200" i="18"/>
  <c r="Z199" i="18"/>
  <c r="X199" i="18"/>
  <c r="L199" i="18"/>
  <c r="N199" i="18" s="1"/>
  <c r="B199" i="18"/>
  <c r="X198" i="18"/>
  <c r="Z198" i="18" s="1"/>
  <c r="N198" i="18"/>
  <c r="L198" i="18"/>
  <c r="B198" i="18"/>
  <c r="X197" i="18"/>
  <c r="Z197" i="18" s="1"/>
  <c r="L197" i="18"/>
  <c r="N197" i="18" s="1"/>
  <c r="B197" i="18"/>
  <c r="Z196" i="18"/>
  <c r="X196" i="18"/>
  <c r="N196" i="18"/>
  <c r="L196" i="18"/>
  <c r="B196" i="18"/>
  <c r="Z195" i="18"/>
  <c r="X195" i="18"/>
  <c r="L195" i="18"/>
  <c r="N195" i="18" s="1"/>
  <c r="B195" i="18"/>
  <c r="T194" i="18"/>
  <c r="P194" i="18"/>
  <c r="H194" i="18"/>
  <c r="L194" i="18" s="1"/>
  <c r="N194" i="18" s="1"/>
  <c r="D194" i="18"/>
  <c r="B194" i="18"/>
  <c r="Z193" i="18"/>
  <c r="X193" i="18"/>
  <c r="N193" i="18"/>
  <c r="L193" i="18"/>
  <c r="B193" i="18"/>
  <c r="Z192" i="18"/>
  <c r="X192" i="18"/>
  <c r="L192" i="18"/>
  <c r="N192" i="18" s="1"/>
  <c r="B192" i="18"/>
  <c r="X191" i="18"/>
  <c r="T191" i="18"/>
  <c r="Z191" i="18" s="1"/>
  <c r="P191" i="18"/>
  <c r="H191" i="18"/>
  <c r="D191" i="18"/>
  <c r="B191" i="18"/>
  <c r="Z190" i="18"/>
  <c r="X190" i="18"/>
  <c r="L190" i="18"/>
  <c r="N190" i="18" s="1"/>
  <c r="B190" i="18"/>
  <c r="X189" i="18"/>
  <c r="Z189" i="18" s="1"/>
  <c r="L189" i="18"/>
  <c r="N189" i="18" s="1"/>
  <c r="B189" i="18"/>
  <c r="Z188" i="18"/>
  <c r="X188" i="18"/>
  <c r="N188" i="18"/>
  <c r="L188" i="18"/>
  <c r="B188" i="18"/>
  <c r="X187" i="18"/>
  <c r="Z187" i="18" s="1"/>
  <c r="N187" i="18"/>
  <c r="L187" i="18"/>
  <c r="B187" i="18"/>
  <c r="Z186" i="18"/>
  <c r="X186" i="18"/>
  <c r="T186" i="18"/>
  <c r="P186" i="18"/>
  <c r="L186" i="18"/>
  <c r="N186" i="18" s="1"/>
  <c r="H186" i="18"/>
  <c r="D186" i="18"/>
  <c r="B186" i="18"/>
  <c r="X185" i="18"/>
  <c r="Z185" i="18" s="1"/>
  <c r="L185" i="18"/>
  <c r="N185" i="18" s="1"/>
  <c r="B185" i="18"/>
  <c r="Z184" i="18"/>
  <c r="X184" i="18"/>
  <c r="N184" i="18"/>
  <c r="L184" i="18"/>
  <c r="B184" i="18"/>
  <c r="Z183" i="18"/>
  <c r="X183" i="18"/>
  <c r="L183" i="18"/>
  <c r="N183" i="18" s="1"/>
  <c r="B183" i="18"/>
  <c r="X182" i="18"/>
  <c r="Z182" i="18" s="1"/>
  <c r="N182" i="18"/>
  <c r="L182" i="18"/>
  <c r="B182" i="18"/>
  <c r="X181" i="18"/>
  <c r="Z181" i="18" s="1"/>
  <c r="T181" i="18"/>
  <c r="P181" i="18"/>
  <c r="N181" i="18"/>
  <c r="L181" i="18"/>
  <c r="H181" i="18"/>
  <c r="D181" i="18"/>
  <c r="B181" i="18"/>
  <c r="Z180" i="18"/>
  <c r="X180" i="18"/>
  <c r="L180" i="18"/>
  <c r="N180" i="18" s="1"/>
  <c r="B180" i="18"/>
  <c r="X179" i="18"/>
  <c r="Z179" i="18" s="1"/>
  <c r="L179" i="18"/>
  <c r="N179" i="18" s="1"/>
  <c r="B179" i="18"/>
  <c r="Z178" i="18"/>
  <c r="X178" i="18"/>
  <c r="N178" i="18"/>
  <c r="L178" i="18"/>
  <c r="B178" i="18"/>
  <c r="X177" i="18"/>
  <c r="Z177" i="18" s="1"/>
  <c r="N177" i="18"/>
  <c r="L177" i="18"/>
  <c r="B177" i="18"/>
  <c r="T176" i="18"/>
  <c r="P176" i="18"/>
  <c r="X176" i="18" s="1"/>
  <c r="Z176" i="18" s="1"/>
  <c r="H176" i="18"/>
  <c r="D176" i="18"/>
  <c r="L176" i="18" s="1"/>
  <c r="N176" i="18" s="1"/>
  <c r="B176" i="18"/>
  <c r="X175" i="18"/>
  <c r="Z175" i="18" s="1"/>
  <c r="N175" i="18"/>
  <c r="L175" i="18"/>
  <c r="B175" i="18"/>
  <c r="Z174" i="18"/>
  <c r="X174" i="18"/>
  <c r="T174" i="18"/>
  <c r="P174" i="18"/>
  <c r="L174" i="18"/>
  <c r="N174" i="18" s="1"/>
  <c r="H174" i="18"/>
  <c r="D174" i="18"/>
  <c r="B174" i="18"/>
  <c r="X173" i="18"/>
  <c r="Z173" i="18" s="1"/>
  <c r="N173" i="18"/>
  <c r="L173" i="18"/>
  <c r="B173" i="18"/>
  <c r="T172" i="18"/>
  <c r="P172" i="18"/>
  <c r="H172" i="18"/>
  <c r="N172" i="18" s="1"/>
  <c r="D172" i="18"/>
  <c r="B172" i="18"/>
  <c r="X171" i="18"/>
  <c r="Z171" i="18" s="1"/>
  <c r="L171" i="18"/>
  <c r="N171" i="18" s="1"/>
  <c r="B171" i="18"/>
  <c r="T170" i="18"/>
  <c r="P170" i="18"/>
  <c r="X170" i="18" s="1"/>
  <c r="Z170" i="18" s="1"/>
  <c r="H170" i="18"/>
  <c r="D170" i="18"/>
  <c r="L170" i="18" s="1"/>
  <c r="N170" i="18" s="1"/>
  <c r="B170" i="18"/>
  <c r="X169" i="18"/>
  <c r="Z169" i="18" s="1"/>
  <c r="L169" i="18"/>
  <c r="N169" i="18" s="1"/>
  <c r="B169" i="18"/>
  <c r="X168" i="18"/>
  <c r="Z168" i="18" s="1"/>
  <c r="T168" i="18"/>
  <c r="P168" i="18"/>
  <c r="N168" i="18"/>
  <c r="L168" i="18"/>
  <c r="H168" i="18"/>
  <c r="D168" i="18"/>
  <c r="B168" i="18"/>
  <c r="Z167" i="18"/>
  <c r="X167" i="18"/>
  <c r="L167" i="18"/>
  <c r="N167" i="18" s="1"/>
  <c r="B167" i="18"/>
  <c r="X166" i="18"/>
  <c r="Z166" i="18" s="1"/>
  <c r="N166" i="18"/>
  <c r="L166" i="18"/>
  <c r="B166" i="18"/>
  <c r="X165" i="18"/>
  <c r="Z165" i="18" s="1"/>
  <c r="L165" i="18"/>
  <c r="N165" i="18" s="1"/>
  <c r="B165" i="18"/>
  <c r="T164" i="18"/>
  <c r="X164" i="18" s="1"/>
  <c r="Z164" i="18" s="1"/>
  <c r="P164" i="18"/>
  <c r="H164" i="18"/>
  <c r="D164" i="18"/>
  <c r="B164" i="18"/>
  <c r="X163" i="18"/>
  <c r="Z163" i="18" s="1"/>
  <c r="L163" i="18"/>
  <c r="N163" i="18" s="1"/>
  <c r="B163" i="18"/>
  <c r="Z162" i="18"/>
  <c r="X162" i="18"/>
  <c r="N162" i="18"/>
  <c r="L162" i="18"/>
  <c r="B162" i="18"/>
  <c r="T161" i="18"/>
  <c r="P161" i="18"/>
  <c r="X161" i="18" s="1"/>
  <c r="L161" i="18"/>
  <c r="H161" i="18"/>
  <c r="N161" i="18" s="1"/>
  <c r="D161" i="18"/>
  <c r="B161" i="18"/>
  <c r="X160" i="18"/>
  <c r="Z160" i="18" s="1"/>
  <c r="N160" i="18"/>
  <c r="L160" i="18"/>
  <c r="B160" i="18"/>
  <c r="T159" i="18"/>
  <c r="P159" i="18"/>
  <c r="X159" i="18" s="1"/>
  <c r="H159" i="18"/>
  <c r="D159" i="18"/>
  <c r="L159" i="18" s="1"/>
  <c r="B159" i="18"/>
  <c r="X158" i="18"/>
  <c r="Z158" i="18" s="1"/>
  <c r="N158" i="18"/>
  <c r="L158" i="18"/>
  <c r="B158" i="18"/>
  <c r="X157" i="18"/>
  <c r="Z157" i="18" s="1"/>
  <c r="T157" i="18"/>
  <c r="P157" i="18"/>
  <c r="H157" i="18"/>
  <c r="D157" i="18"/>
  <c r="L157" i="18" s="1"/>
  <c r="N157" i="18" s="1"/>
  <c r="B157" i="18"/>
  <c r="Z156" i="18"/>
  <c r="X156" i="18"/>
  <c r="L156" i="18"/>
  <c r="N156" i="18" s="1"/>
  <c r="B156" i="18"/>
  <c r="Z155" i="18"/>
  <c r="X155" i="18"/>
  <c r="N155" i="18"/>
  <c r="L155" i="18"/>
  <c r="B155" i="18"/>
  <c r="T154" i="18"/>
  <c r="P154" i="18"/>
  <c r="X154" i="18" s="1"/>
  <c r="Z154" i="18" s="1"/>
  <c r="H154" i="18"/>
  <c r="D154" i="18"/>
  <c r="L154" i="18" s="1"/>
  <c r="N154" i="18" s="1"/>
  <c r="B154" i="18"/>
  <c r="X153" i="18"/>
  <c r="Z153" i="18" s="1"/>
  <c r="L153" i="18"/>
  <c r="N153" i="18" s="1"/>
  <c r="B153" i="18"/>
  <c r="X152" i="18"/>
  <c r="Z152" i="18" s="1"/>
  <c r="T152" i="18"/>
  <c r="P152" i="18"/>
  <c r="N152" i="18"/>
  <c r="L152" i="18"/>
  <c r="H152" i="18"/>
  <c r="D152" i="18"/>
  <c r="B152" i="18"/>
  <c r="Z151" i="18"/>
  <c r="X151" i="18"/>
  <c r="L151" i="18"/>
  <c r="N151" i="18" s="1"/>
  <c r="B151" i="18"/>
  <c r="Z150" i="18"/>
  <c r="X150" i="18"/>
  <c r="N150" i="18"/>
  <c r="L150" i="18"/>
  <c r="B150" i="18"/>
  <c r="X149" i="18"/>
  <c r="Z149" i="18" s="1"/>
  <c r="T149" i="18"/>
  <c r="P149" i="18"/>
  <c r="H149" i="18"/>
  <c r="D149" i="18"/>
  <c r="L149" i="18" s="1"/>
  <c r="N149" i="18" s="1"/>
  <c r="B149" i="18"/>
  <c r="Z148" i="18"/>
  <c r="X148" i="18"/>
  <c r="L148" i="18"/>
  <c r="N148" i="18" s="1"/>
  <c r="B148" i="18"/>
  <c r="X147" i="18"/>
  <c r="T147" i="18"/>
  <c r="Z147" i="18" s="1"/>
  <c r="P147" i="18"/>
  <c r="H147" i="18"/>
  <c r="D147" i="18"/>
  <c r="L147" i="18" s="1"/>
  <c r="B147" i="18"/>
  <c r="Z146" i="18"/>
  <c r="X146" i="18"/>
  <c r="L146" i="18"/>
  <c r="N146" i="18" s="1"/>
  <c r="B146" i="18"/>
  <c r="X145" i="18"/>
  <c r="Z145" i="18" s="1"/>
  <c r="L145" i="18"/>
  <c r="N145" i="18" s="1"/>
  <c r="B145" i="18"/>
  <c r="X144" i="18"/>
  <c r="Z144" i="18" s="1"/>
  <c r="T144" i="18"/>
  <c r="P144" i="18"/>
  <c r="N144" i="18"/>
  <c r="L144" i="18"/>
  <c r="H144" i="18"/>
  <c r="D144" i="18"/>
  <c r="B144" i="18"/>
  <c r="Z143" i="18"/>
  <c r="X143" i="18"/>
  <c r="L143" i="18"/>
  <c r="N143" i="18" s="1"/>
  <c r="B143" i="18"/>
  <c r="T142" i="18"/>
  <c r="P142" i="18"/>
  <c r="H142" i="18"/>
  <c r="L142" i="18" s="1"/>
  <c r="N142" i="18" s="1"/>
  <c r="D142" i="18"/>
  <c r="B142" i="18"/>
  <c r="Z141" i="18"/>
  <c r="X141" i="18"/>
  <c r="N141" i="18"/>
  <c r="L141" i="18"/>
  <c r="B141" i="18"/>
  <c r="Z140" i="18"/>
  <c r="X140" i="18"/>
  <c r="N140" i="18"/>
  <c r="L140" i="18"/>
  <c r="B140" i="18"/>
  <c r="X139" i="18"/>
  <c r="Z139" i="18" s="1"/>
  <c r="L139" i="18"/>
  <c r="N139" i="18" s="1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L136" i="18"/>
  <c r="N136" i="18" s="1"/>
  <c r="B136" i="18"/>
  <c r="X135" i="18"/>
  <c r="Z135" i="18" s="1"/>
  <c r="L135" i="18"/>
  <c r="N135" i="18" s="1"/>
  <c r="B135" i="18"/>
  <c r="Z134" i="18"/>
  <c r="X134" i="18"/>
  <c r="N134" i="18"/>
  <c r="L134" i="18"/>
  <c r="B134" i="18"/>
  <c r="X133" i="18"/>
  <c r="Z133" i="18" s="1"/>
  <c r="L133" i="18"/>
  <c r="N133" i="18" s="1"/>
  <c r="B133" i="18"/>
  <c r="Z132" i="18"/>
  <c r="X132" i="18"/>
  <c r="L132" i="18"/>
  <c r="N132" i="18" s="1"/>
  <c r="B132" i="18"/>
  <c r="X131" i="18"/>
  <c r="T131" i="18"/>
  <c r="Z131" i="18" s="1"/>
  <c r="P131" i="18"/>
  <c r="H131" i="18"/>
  <c r="D131" i="18"/>
  <c r="L131" i="18" s="1"/>
  <c r="B131" i="18"/>
  <c r="Z130" i="18"/>
  <c r="X130" i="18"/>
  <c r="L130" i="18"/>
  <c r="N130" i="18" s="1"/>
  <c r="B130" i="18"/>
  <c r="X129" i="18"/>
  <c r="Z129" i="18" s="1"/>
  <c r="L129" i="18"/>
  <c r="N129" i="18" s="1"/>
  <c r="B129" i="18"/>
  <c r="X128" i="18"/>
  <c r="Z128" i="18" s="1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X125" i="18"/>
  <c r="Z125" i="18" s="1"/>
  <c r="L125" i="18"/>
  <c r="N125" i="18" s="1"/>
  <c r="B125" i="18"/>
  <c r="X124" i="18"/>
  <c r="Z124" i="18" s="1"/>
  <c r="N124" i="18"/>
  <c r="L124" i="18"/>
  <c r="B124" i="18"/>
  <c r="X123" i="18"/>
  <c r="Z123" i="18" s="1"/>
  <c r="N123" i="18"/>
  <c r="L123" i="18"/>
  <c r="B123" i="18"/>
  <c r="Z122" i="18"/>
  <c r="X122" i="18"/>
  <c r="L122" i="18"/>
  <c r="N122" i="18" s="1"/>
  <c r="B122" i="18"/>
  <c r="X121" i="18"/>
  <c r="Z121" i="18" s="1"/>
  <c r="L121" i="18"/>
  <c r="N121" i="18" s="1"/>
  <c r="B121" i="18"/>
  <c r="X120" i="18"/>
  <c r="Z120" i="18" s="1"/>
  <c r="T120" i="18"/>
  <c r="P120" i="18"/>
  <c r="N120" i="18"/>
  <c r="L120" i="18"/>
  <c r="H120" i="18"/>
  <c r="D120" i="18"/>
  <c r="B120" i="18"/>
  <c r="T119" i="18"/>
  <c r="P119" i="18"/>
  <c r="X119" i="18" s="1"/>
  <c r="Z119" i="18" s="1"/>
  <c r="H119" i="18"/>
  <c r="D119" i="18"/>
  <c r="L119" i="18" s="1"/>
  <c r="N119" i="18" s="1"/>
  <c r="Z115" i="18"/>
  <c r="X115" i="18"/>
  <c r="N115" i="18"/>
  <c r="L115" i="18"/>
  <c r="B115" i="18"/>
  <c r="Z114" i="18"/>
  <c r="X114" i="18"/>
  <c r="N114" i="18"/>
  <c r="L114" i="18"/>
  <c r="B114" i="18"/>
  <c r="Z113" i="18"/>
  <c r="X113" i="18"/>
  <c r="N113" i="18"/>
  <c r="L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N110" i="18"/>
  <c r="L110" i="18"/>
  <c r="B110" i="18"/>
  <c r="Z109" i="18"/>
  <c r="X109" i="18"/>
  <c r="N109" i="18"/>
  <c r="L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N106" i="18"/>
  <c r="L106" i="18"/>
  <c r="B106" i="18"/>
  <c r="Z105" i="18"/>
  <c r="X105" i="18"/>
  <c r="N105" i="18"/>
  <c r="L105" i="18"/>
  <c r="B105" i="18"/>
  <c r="Z104" i="18"/>
  <c r="X104" i="18"/>
  <c r="N104" i="18"/>
  <c r="L104" i="18"/>
  <c r="B104" i="18"/>
  <c r="Z103" i="18"/>
  <c r="X103" i="18"/>
  <c r="N103" i="18"/>
  <c r="L103" i="18"/>
  <c r="B103" i="18"/>
  <c r="Z102" i="18"/>
  <c r="X102" i="18"/>
  <c r="N102" i="18"/>
  <c r="L102" i="18"/>
  <c r="B102" i="18"/>
  <c r="Z101" i="18"/>
  <c r="X101" i="18"/>
  <c r="N101" i="18"/>
  <c r="L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N98" i="18"/>
  <c r="L98" i="18"/>
  <c r="B98" i="18"/>
  <c r="Z97" i="18"/>
  <c r="X97" i="18"/>
  <c r="N97" i="18"/>
  <c r="L97" i="18"/>
  <c r="B97" i="18"/>
  <c r="Z96" i="18"/>
  <c r="X96" i="18"/>
  <c r="N96" i="18"/>
  <c r="L96" i="18"/>
  <c r="B96" i="18"/>
  <c r="Z95" i="18"/>
  <c r="X95" i="18"/>
  <c r="N95" i="18"/>
  <c r="L95" i="18"/>
  <c r="B95" i="18"/>
  <c r="Z94" i="18"/>
  <c r="X94" i="18"/>
  <c r="N94" i="18"/>
  <c r="L94" i="18"/>
  <c r="B94" i="18"/>
  <c r="Z93" i="18"/>
  <c r="X93" i="18"/>
  <c r="N93" i="18"/>
  <c r="L93" i="18"/>
  <c r="B93" i="18"/>
  <c r="Z92" i="18"/>
  <c r="X92" i="18"/>
  <c r="N92" i="18"/>
  <c r="L92" i="18"/>
  <c r="B92" i="18"/>
  <c r="Z91" i="18"/>
  <c r="X91" i="18"/>
  <c r="N91" i="18"/>
  <c r="L91" i="18"/>
  <c r="B91" i="18"/>
  <c r="Z90" i="18"/>
  <c r="X90" i="18"/>
  <c r="N90" i="18"/>
  <c r="L90" i="18"/>
  <c r="B90" i="18"/>
  <c r="Z89" i="18"/>
  <c r="X89" i="18"/>
  <c r="N89" i="18"/>
  <c r="L89" i="18"/>
  <c r="B89" i="18"/>
  <c r="Z88" i="18"/>
  <c r="X88" i="18"/>
  <c r="N88" i="18"/>
  <c r="L88" i="18"/>
  <c r="B88" i="18"/>
  <c r="Z87" i="18"/>
  <c r="X87" i="18"/>
  <c r="L87" i="18"/>
  <c r="N87" i="18" s="1"/>
  <c r="B87" i="18"/>
  <c r="T86" i="18"/>
  <c r="P86" i="18"/>
  <c r="H86" i="18"/>
  <c r="L86" i="18" s="1"/>
  <c r="N86" i="18" s="1"/>
  <c r="D86" i="18"/>
  <c r="Z84" i="18"/>
  <c r="P84" i="18"/>
  <c r="X84" i="18" s="1"/>
  <c r="N84" i="18"/>
  <c r="L84" i="18"/>
  <c r="D84" i="18"/>
  <c r="B84" i="18"/>
  <c r="Z83" i="18"/>
  <c r="X83" i="18"/>
  <c r="P83" i="18"/>
  <c r="N83" i="18"/>
  <c r="D83" i="18"/>
  <c r="L83" i="18" s="1"/>
  <c r="B83" i="18"/>
  <c r="Z82" i="18"/>
  <c r="X82" i="18"/>
  <c r="P82" i="18"/>
  <c r="N82" i="18"/>
  <c r="L82" i="18"/>
  <c r="D82" i="18"/>
  <c r="B82" i="18"/>
  <c r="Z81" i="18"/>
  <c r="X81" i="18"/>
  <c r="P81" i="18"/>
  <c r="N81" i="18"/>
  <c r="D81" i="18"/>
  <c r="L81" i="18" s="1"/>
  <c r="B81" i="18"/>
  <c r="Z80" i="18"/>
  <c r="P80" i="18"/>
  <c r="X80" i="18" s="1"/>
  <c r="N80" i="18"/>
  <c r="L80" i="18"/>
  <c r="D80" i="18"/>
  <c r="B80" i="18"/>
  <c r="Z79" i="18"/>
  <c r="X79" i="18"/>
  <c r="P79" i="18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X77" i="18"/>
  <c r="P77" i="18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L74" i="18"/>
  <c r="D74" i="18"/>
  <c r="B74" i="18"/>
  <c r="Z73" i="18"/>
  <c r="X73" i="18"/>
  <c r="P73" i="18"/>
  <c r="N73" i="18"/>
  <c r="D73" i="18"/>
  <c r="L73" i="18" s="1"/>
  <c r="B73" i="18"/>
  <c r="Z72" i="18"/>
  <c r="P72" i="18"/>
  <c r="X72" i="18" s="1"/>
  <c r="N72" i="18"/>
  <c r="L72" i="18"/>
  <c r="D72" i="18"/>
  <c r="B72" i="18"/>
  <c r="Z71" i="18"/>
  <c r="X71" i="18"/>
  <c r="P71" i="18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L68" i="18"/>
  <c r="D68" i="18"/>
  <c r="B68" i="18"/>
  <c r="Z67" i="18"/>
  <c r="X67" i="18"/>
  <c r="P67" i="18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X65" i="18"/>
  <c r="P65" i="18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D63" i="18"/>
  <c r="L63" i="18" s="1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D61" i="18"/>
  <c r="L61" i="18" s="1"/>
  <c r="B61" i="18"/>
  <c r="Z60" i="18"/>
  <c r="P60" i="18"/>
  <c r="X60" i="18" s="1"/>
  <c r="N60" i="18"/>
  <c r="L60" i="18"/>
  <c r="D60" i="18"/>
  <c r="B60" i="18"/>
  <c r="Z59" i="18"/>
  <c r="X59" i="18"/>
  <c r="P59" i="18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D57" i="18"/>
  <c r="L57" i="18" s="1"/>
  <c r="B57" i="18"/>
  <c r="Z56" i="18"/>
  <c r="P56" i="18"/>
  <c r="X56" i="18" s="1"/>
  <c r="N56" i="18"/>
  <c r="L56" i="18"/>
  <c r="D56" i="18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X53" i="18"/>
  <c r="P53" i="18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X51" i="18"/>
  <c r="P51" i="18"/>
  <c r="N51" i="18"/>
  <c r="D51" i="18"/>
  <c r="L51" i="18" s="1"/>
  <c r="B51" i="18"/>
  <c r="Z50" i="18"/>
  <c r="P50" i="18"/>
  <c r="X50" i="18" s="1"/>
  <c r="N50" i="18"/>
  <c r="L50" i="18"/>
  <c r="D50" i="18"/>
  <c r="B50" i="18"/>
  <c r="Z49" i="18"/>
  <c r="X49" i="18"/>
  <c r="P49" i="18"/>
  <c r="N49" i="18"/>
  <c r="D49" i="18"/>
  <c r="L49" i="18" s="1"/>
  <c r="B49" i="18"/>
  <c r="Z48" i="18"/>
  <c r="P48" i="18"/>
  <c r="X48" i="18" s="1"/>
  <c r="N48" i="18"/>
  <c r="L48" i="18"/>
  <c r="D48" i="18"/>
  <c r="B48" i="18"/>
  <c r="Z47" i="18"/>
  <c r="X47" i="18"/>
  <c r="P47" i="18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X43" i="18"/>
  <c r="P43" i="18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X41" i="18"/>
  <c r="P41" i="18"/>
  <c r="N41" i="18"/>
  <c r="D41" i="18"/>
  <c r="L41" i="18" s="1"/>
  <c r="B41" i="18"/>
  <c r="Z40" i="18"/>
  <c r="P40" i="18"/>
  <c r="X40" i="18" s="1"/>
  <c r="N40" i="18"/>
  <c r="L40" i="18"/>
  <c r="D40" i="18"/>
  <c r="B40" i="18"/>
  <c r="Z39" i="18"/>
  <c r="X39" i="18"/>
  <c r="P39" i="18"/>
  <c r="N39" i="18"/>
  <c r="D39" i="18"/>
  <c r="L39" i="18" s="1"/>
  <c r="B39" i="18"/>
  <c r="Z38" i="18"/>
  <c r="P38" i="18"/>
  <c r="X38" i="18" s="1"/>
  <c r="N38" i="18"/>
  <c r="L38" i="18"/>
  <c r="D38" i="18"/>
  <c r="B38" i="18"/>
  <c r="X37" i="18"/>
  <c r="Z37" i="18" s="1"/>
  <c r="P37" i="18"/>
  <c r="N37" i="18"/>
  <c r="D37" i="18"/>
  <c r="L37" i="18" s="1"/>
  <c r="B37" i="18"/>
  <c r="Z36" i="18"/>
  <c r="P36" i="18"/>
  <c r="X36" i="18" s="1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X33" i="18"/>
  <c r="P33" i="18"/>
  <c r="N33" i="18"/>
  <c r="D33" i="18"/>
  <c r="L33" i="18" s="1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X29" i="18"/>
  <c r="P29" i="18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L26" i="18"/>
  <c r="D26" i="18"/>
  <c r="B26" i="18"/>
  <c r="Z25" i="18"/>
  <c r="X25" i="18"/>
  <c r="P25" i="18"/>
  <c r="N25" i="18"/>
  <c r="D25" i="18"/>
  <c r="L25" i="18" s="1"/>
  <c r="B25" i="18"/>
  <c r="Z24" i="18"/>
  <c r="P24" i="18"/>
  <c r="X24" i="18" s="1"/>
  <c r="N24" i="18"/>
  <c r="L24" i="18"/>
  <c r="D24" i="18"/>
  <c r="B24" i="18"/>
  <c r="Z23" i="18"/>
  <c r="X23" i="18"/>
  <c r="P23" i="18"/>
  <c r="N23" i="18"/>
  <c r="D23" i="18"/>
  <c r="L23" i="18" s="1"/>
  <c r="B23" i="18"/>
  <c r="Z22" i="18"/>
  <c r="X22" i="18"/>
  <c r="P22" i="18"/>
  <c r="N22" i="18"/>
  <c r="L22" i="18"/>
  <c r="D22" i="18"/>
  <c r="B22" i="18"/>
  <c r="Z21" i="18"/>
  <c r="X21" i="18"/>
  <c r="P21" i="18"/>
  <c r="N21" i="18"/>
  <c r="D21" i="18"/>
  <c r="L21" i="18" s="1"/>
  <c r="B21" i="18"/>
  <c r="Z20" i="18"/>
  <c r="P20" i="18"/>
  <c r="X20" i="18" s="1"/>
  <c r="N20" i="18"/>
  <c r="L20" i="18"/>
  <c r="D20" i="18"/>
  <c r="B20" i="18"/>
  <c r="Z19" i="18"/>
  <c r="X19" i="18"/>
  <c r="P19" i="18"/>
  <c r="N19" i="18"/>
  <c r="L19" i="18"/>
  <c r="D19" i="18"/>
  <c r="B19" i="18"/>
  <c r="Z18" i="18"/>
  <c r="P18" i="18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L14" i="18"/>
  <c r="D14" i="18"/>
  <c r="B14" i="18"/>
  <c r="X13" i="18"/>
  <c r="Z13" i="18" s="1"/>
  <c r="P13" i="18"/>
  <c r="D13" i="18"/>
  <c r="B13" i="18"/>
  <c r="T12" i="18"/>
  <c r="V218" i="18" s="1"/>
  <c r="H12" i="18"/>
  <c r="J212" i="18" s="1"/>
  <c r="D4" i="18"/>
  <c r="X202" i="15"/>
  <c r="Z202" i="15" s="1"/>
  <c r="N202" i="15"/>
  <c r="L202" i="15"/>
  <c r="Z198" i="15"/>
  <c r="X198" i="15"/>
  <c r="P198" i="15"/>
  <c r="N198" i="15"/>
  <c r="D198" i="15"/>
  <c r="L198" i="15" s="1"/>
  <c r="B198" i="15"/>
  <c r="Z197" i="15"/>
  <c r="P197" i="15"/>
  <c r="X197" i="15" s="1"/>
  <c r="N197" i="15"/>
  <c r="D197" i="15"/>
  <c r="L197" i="15" s="1"/>
  <c r="B197" i="15"/>
  <c r="X196" i="15"/>
  <c r="Z196" i="15" s="1"/>
  <c r="P196" i="15"/>
  <c r="D196" i="15"/>
  <c r="L196" i="15" s="1"/>
  <c r="N196" i="15" s="1"/>
  <c r="B196" i="15"/>
  <c r="P195" i="15"/>
  <c r="X195" i="15" s="1"/>
  <c r="Z195" i="15" s="1"/>
  <c r="L195" i="15"/>
  <c r="N195" i="15" s="1"/>
  <c r="D195" i="15"/>
  <c r="B195" i="15"/>
  <c r="T194" i="15"/>
  <c r="P194" i="15"/>
  <c r="H194" i="15"/>
  <c r="D194" i="15"/>
  <c r="L194" i="15" s="1"/>
  <c r="N194" i="15" s="1"/>
  <c r="Z192" i="15"/>
  <c r="X192" i="15"/>
  <c r="L192" i="15"/>
  <c r="N192" i="15" s="1"/>
  <c r="B192" i="15"/>
  <c r="T191" i="15"/>
  <c r="P191" i="15"/>
  <c r="H191" i="15"/>
  <c r="L191" i="15" s="1"/>
  <c r="N191" i="15" s="1"/>
  <c r="D191" i="15"/>
  <c r="B191" i="15"/>
  <c r="X190" i="15"/>
  <c r="Z190" i="15" s="1"/>
  <c r="L190" i="15"/>
  <c r="N190" i="15" s="1"/>
  <c r="B190" i="15"/>
  <c r="Z189" i="15"/>
  <c r="X189" i="15"/>
  <c r="N189" i="15"/>
  <c r="L189" i="15"/>
  <c r="B189" i="15"/>
  <c r="Z188" i="15"/>
  <c r="X188" i="15"/>
  <c r="N188" i="15"/>
  <c r="L188" i="15"/>
  <c r="B188" i="15"/>
  <c r="T187" i="15"/>
  <c r="P187" i="15"/>
  <c r="X187" i="15" s="1"/>
  <c r="Z187" i="15" s="1"/>
  <c r="H187" i="15"/>
  <c r="D187" i="15"/>
  <c r="L187" i="15" s="1"/>
  <c r="N187" i="15" s="1"/>
  <c r="B187" i="15"/>
  <c r="X186" i="15"/>
  <c r="Z186" i="15" s="1"/>
  <c r="L186" i="15"/>
  <c r="N186" i="15" s="1"/>
  <c r="B186" i="15"/>
  <c r="Z185" i="15"/>
  <c r="X185" i="15"/>
  <c r="T185" i="15"/>
  <c r="P185" i="15"/>
  <c r="N185" i="15"/>
  <c r="L185" i="15"/>
  <c r="H185" i="15"/>
  <c r="D185" i="15"/>
  <c r="B185" i="15"/>
  <c r="Z184" i="15"/>
  <c r="X184" i="15"/>
  <c r="L184" i="15"/>
  <c r="N184" i="15" s="1"/>
  <c r="B184" i="15"/>
  <c r="Z183" i="15"/>
  <c r="X183" i="15"/>
  <c r="N183" i="15"/>
  <c r="L183" i="15"/>
  <c r="B183" i="15"/>
  <c r="T182" i="15"/>
  <c r="P182" i="15"/>
  <c r="X182" i="15" s="1"/>
  <c r="Z182" i="15" s="1"/>
  <c r="H182" i="15"/>
  <c r="D182" i="15"/>
  <c r="L182" i="15" s="1"/>
  <c r="N182" i="15" s="1"/>
  <c r="B182" i="15"/>
  <c r="Z181" i="15"/>
  <c r="X181" i="15"/>
  <c r="L181" i="15"/>
  <c r="N181" i="15" s="1"/>
  <c r="J181" i="15"/>
  <c r="B181" i="15"/>
  <c r="X180" i="15"/>
  <c r="Z180" i="15" s="1"/>
  <c r="L180" i="15"/>
  <c r="N180" i="15" s="1"/>
  <c r="B180" i="15"/>
  <c r="Z179" i="15"/>
  <c r="X179" i="15"/>
  <c r="N179" i="15"/>
  <c r="L179" i="15"/>
  <c r="B179" i="15"/>
  <c r="X178" i="15"/>
  <c r="Z178" i="15" s="1"/>
  <c r="N178" i="15"/>
  <c r="L178" i="15"/>
  <c r="B178" i="15"/>
  <c r="Z177" i="15"/>
  <c r="X177" i="15"/>
  <c r="L177" i="15"/>
  <c r="N177" i="15" s="1"/>
  <c r="J177" i="15"/>
  <c r="B177" i="15"/>
  <c r="X176" i="15"/>
  <c r="Z176" i="15" s="1"/>
  <c r="L176" i="15"/>
  <c r="N176" i="15" s="1"/>
  <c r="B176" i="15"/>
  <c r="Z175" i="15"/>
  <c r="X175" i="15"/>
  <c r="L175" i="15"/>
  <c r="N175" i="15" s="1"/>
  <c r="J175" i="15"/>
  <c r="B175" i="15"/>
  <c r="X174" i="15"/>
  <c r="Z174" i="15" s="1"/>
  <c r="L174" i="15"/>
  <c r="N174" i="15" s="1"/>
  <c r="B174" i="15"/>
  <c r="Z173" i="15"/>
  <c r="X173" i="15"/>
  <c r="L173" i="15"/>
  <c r="N173" i="15" s="1"/>
  <c r="J173" i="15"/>
  <c r="B173" i="15"/>
  <c r="X172" i="15"/>
  <c r="T172" i="15"/>
  <c r="P172" i="15"/>
  <c r="L172" i="15"/>
  <c r="H172" i="15"/>
  <c r="D172" i="15"/>
  <c r="B172" i="15"/>
  <c r="Z171" i="15"/>
  <c r="X171" i="15"/>
  <c r="N171" i="15"/>
  <c r="L171" i="15"/>
  <c r="B171" i="15"/>
  <c r="X170" i="15"/>
  <c r="Z170" i="15" s="1"/>
  <c r="L170" i="15"/>
  <c r="N170" i="15" s="1"/>
  <c r="B170" i="15"/>
  <c r="Z169" i="15"/>
  <c r="X169" i="15"/>
  <c r="T169" i="15"/>
  <c r="P169" i="15"/>
  <c r="N169" i="15"/>
  <c r="L169" i="15"/>
  <c r="H169" i="15"/>
  <c r="D169" i="15"/>
  <c r="B169" i="15"/>
  <c r="Z168" i="15"/>
  <c r="X168" i="15"/>
  <c r="L168" i="15"/>
  <c r="N168" i="15" s="1"/>
  <c r="B168" i="15"/>
  <c r="Z167" i="15"/>
  <c r="X167" i="15"/>
  <c r="N167" i="15"/>
  <c r="L167" i="15"/>
  <c r="B167" i="15"/>
  <c r="Z166" i="15"/>
  <c r="X166" i="15"/>
  <c r="N166" i="15"/>
  <c r="L166" i="15"/>
  <c r="B166" i="15"/>
  <c r="Z165" i="15"/>
  <c r="X165" i="15"/>
  <c r="N165" i="15"/>
  <c r="L165" i="15"/>
  <c r="B165" i="15"/>
  <c r="X164" i="15"/>
  <c r="Z164" i="15" s="1"/>
  <c r="T164" i="15"/>
  <c r="P164" i="15"/>
  <c r="H164" i="15"/>
  <c r="D164" i="15"/>
  <c r="L164" i="15" s="1"/>
  <c r="B164" i="15"/>
  <c r="Z163" i="15"/>
  <c r="X163" i="15"/>
  <c r="L163" i="15"/>
  <c r="N163" i="15" s="1"/>
  <c r="B163" i="15"/>
  <c r="X162" i="15"/>
  <c r="Z162" i="15" s="1"/>
  <c r="L162" i="15"/>
  <c r="N162" i="15" s="1"/>
  <c r="B162" i="15"/>
  <c r="Z161" i="15"/>
  <c r="X161" i="15"/>
  <c r="N161" i="15"/>
  <c r="L161" i="15"/>
  <c r="J161" i="15"/>
  <c r="B161" i="15"/>
  <c r="X160" i="15"/>
  <c r="Z160" i="15" s="1"/>
  <c r="L160" i="15"/>
  <c r="N160" i="15" s="1"/>
  <c r="B160" i="15"/>
  <c r="T159" i="15"/>
  <c r="P159" i="15"/>
  <c r="X159" i="15" s="1"/>
  <c r="Z159" i="15" s="1"/>
  <c r="N159" i="15"/>
  <c r="H159" i="15"/>
  <c r="D159" i="15"/>
  <c r="L159" i="15" s="1"/>
  <c r="B159" i="15"/>
  <c r="X158" i="15"/>
  <c r="Z158" i="15" s="1"/>
  <c r="L158" i="15"/>
  <c r="N158" i="15" s="1"/>
  <c r="B158" i="15"/>
  <c r="X157" i="15"/>
  <c r="Z157" i="15" s="1"/>
  <c r="N157" i="15"/>
  <c r="L157" i="15"/>
  <c r="J157" i="15"/>
  <c r="B157" i="15"/>
  <c r="Z156" i="15"/>
  <c r="X156" i="15"/>
  <c r="N156" i="15"/>
  <c r="L156" i="15"/>
  <c r="B156" i="15"/>
  <c r="Z155" i="15"/>
  <c r="X155" i="15"/>
  <c r="N155" i="15"/>
  <c r="L155" i="15"/>
  <c r="J155" i="15"/>
  <c r="B155" i="15"/>
  <c r="T154" i="15"/>
  <c r="P154" i="15"/>
  <c r="X154" i="15" s="1"/>
  <c r="L154" i="15"/>
  <c r="H154" i="15"/>
  <c r="D154" i="15"/>
  <c r="B154" i="15"/>
  <c r="Z153" i="15"/>
  <c r="X153" i="15"/>
  <c r="N153" i="15"/>
  <c r="L153" i="15"/>
  <c r="J153" i="15"/>
  <c r="B153" i="15"/>
  <c r="X152" i="15"/>
  <c r="T152" i="15"/>
  <c r="Z152" i="15" s="1"/>
  <c r="P152" i="15"/>
  <c r="L152" i="15"/>
  <c r="N152" i="15" s="1"/>
  <c r="H152" i="15"/>
  <c r="D152" i="15"/>
  <c r="B152" i="15"/>
  <c r="Z151" i="15"/>
  <c r="X151" i="15"/>
  <c r="N151" i="15"/>
  <c r="L151" i="15"/>
  <c r="B151" i="15"/>
  <c r="X150" i="15"/>
  <c r="T150" i="15"/>
  <c r="P150" i="15"/>
  <c r="H150" i="15"/>
  <c r="N150" i="15" s="1"/>
  <c r="D150" i="15"/>
  <c r="L150" i="15" s="1"/>
  <c r="B150" i="15"/>
  <c r="Z149" i="15"/>
  <c r="X149" i="15"/>
  <c r="N149" i="15"/>
  <c r="L149" i="15"/>
  <c r="B149" i="15"/>
  <c r="T148" i="15"/>
  <c r="P148" i="15"/>
  <c r="H148" i="15"/>
  <c r="D148" i="15"/>
  <c r="L148" i="15" s="1"/>
  <c r="B148" i="15"/>
  <c r="Z147" i="15"/>
  <c r="X147" i="15"/>
  <c r="N147" i="15"/>
  <c r="L147" i="15"/>
  <c r="B147" i="15"/>
  <c r="T146" i="15"/>
  <c r="Z146" i="15" s="1"/>
  <c r="P146" i="15"/>
  <c r="X146" i="15" s="1"/>
  <c r="L146" i="15"/>
  <c r="H146" i="15"/>
  <c r="N146" i="15" s="1"/>
  <c r="D146" i="15"/>
  <c r="B146" i="15"/>
  <c r="Z145" i="15"/>
  <c r="X145" i="15"/>
  <c r="L145" i="15"/>
  <c r="N145" i="15" s="1"/>
  <c r="J145" i="15"/>
  <c r="B145" i="15"/>
  <c r="X144" i="15"/>
  <c r="Z144" i="15" s="1"/>
  <c r="N144" i="15"/>
  <c r="L144" i="15"/>
  <c r="B144" i="15"/>
  <c r="Z143" i="15"/>
  <c r="X143" i="15"/>
  <c r="L143" i="15"/>
  <c r="N143" i="15" s="1"/>
  <c r="B143" i="15"/>
  <c r="T142" i="15"/>
  <c r="P142" i="15"/>
  <c r="X142" i="15" s="1"/>
  <c r="J142" i="15"/>
  <c r="H142" i="15"/>
  <c r="D142" i="15"/>
  <c r="L142" i="15" s="1"/>
  <c r="B142" i="15"/>
  <c r="Z141" i="15"/>
  <c r="X141" i="15"/>
  <c r="N141" i="15"/>
  <c r="L141" i="15"/>
  <c r="J141" i="15"/>
  <c r="B141" i="15"/>
  <c r="X140" i="15"/>
  <c r="Z140" i="15" s="1"/>
  <c r="L140" i="15"/>
  <c r="N140" i="15" s="1"/>
  <c r="B140" i="15"/>
  <c r="T139" i="15"/>
  <c r="P139" i="15"/>
  <c r="X139" i="15" s="1"/>
  <c r="Z139" i="15" s="1"/>
  <c r="J139" i="15"/>
  <c r="H139" i="15"/>
  <c r="D139" i="15"/>
  <c r="L139" i="15" s="1"/>
  <c r="N139" i="15" s="1"/>
  <c r="B139" i="15"/>
  <c r="X138" i="15"/>
  <c r="Z138" i="15" s="1"/>
  <c r="L138" i="15"/>
  <c r="N138" i="15" s="1"/>
  <c r="J138" i="15"/>
  <c r="B138" i="15"/>
  <c r="T137" i="15"/>
  <c r="X137" i="15" s="1"/>
  <c r="Z137" i="15" s="1"/>
  <c r="P137" i="15"/>
  <c r="J137" i="15"/>
  <c r="H137" i="15"/>
  <c r="L137" i="15" s="1"/>
  <c r="N137" i="15" s="1"/>
  <c r="D137" i="15"/>
  <c r="B137" i="15"/>
  <c r="X136" i="15"/>
  <c r="Z136" i="15" s="1"/>
  <c r="L136" i="15"/>
  <c r="N136" i="15" s="1"/>
  <c r="J136" i="15"/>
  <c r="B136" i="15"/>
  <c r="T135" i="15"/>
  <c r="P135" i="15"/>
  <c r="J135" i="15"/>
  <c r="H135" i="15"/>
  <c r="D135" i="15"/>
  <c r="L135" i="15" s="1"/>
  <c r="N135" i="15" s="1"/>
  <c r="B135" i="15"/>
  <c r="X134" i="15"/>
  <c r="Z134" i="15" s="1"/>
  <c r="L134" i="15"/>
  <c r="N134" i="15" s="1"/>
  <c r="B134" i="15"/>
  <c r="Z133" i="15"/>
  <c r="X133" i="15"/>
  <c r="N133" i="15"/>
  <c r="L133" i="15"/>
  <c r="J133" i="15"/>
  <c r="B133" i="15"/>
  <c r="X132" i="15"/>
  <c r="T132" i="15"/>
  <c r="P132" i="15"/>
  <c r="J132" i="15"/>
  <c r="H132" i="15"/>
  <c r="D132" i="15"/>
  <c r="L132" i="15" s="1"/>
  <c r="B132" i="15"/>
  <c r="X131" i="15"/>
  <c r="Z131" i="15" s="1"/>
  <c r="N131" i="15"/>
  <c r="L131" i="15"/>
  <c r="J131" i="15"/>
  <c r="B131" i="15"/>
  <c r="T130" i="15"/>
  <c r="P130" i="15"/>
  <c r="X130" i="15" s="1"/>
  <c r="H130" i="15"/>
  <c r="D130" i="15"/>
  <c r="L130" i="15" s="1"/>
  <c r="N130" i="15" s="1"/>
  <c r="B130" i="15"/>
  <c r="Z129" i="15"/>
  <c r="X129" i="15"/>
  <c r="L129" i="15"/>
  <c r="N129" i="15" s="1"/>
  <c r="J129" i="15"/>
  <c r="B129" i="15"/>
  <c r="Z128" i="15"/>
  <c r="X128" i="15"/>
  <c r="N128" i="15"/>
  <c r="L128" i="15"/>
  <c r="J128" i="15"/>
  <c r="B128" i="15"/>
  <c r="Z127" i="15"/>
  <c r="T127" i="15"/>
  <c r="P127" i="15"/>
  <c r="X127" i="15" s="1"/>
  <c r="H127" i="15"/>
  <c r="D127" i="15"/>
  <c r="B127" i="15"/>
  <c r="X126" i="15"/>
  <c r="Z126" i="15" s="1"/>
  <c r="L126" i="15"/>
  <c r="N126" i="15" s="1"/>
  <c r="B126" i="15"/>
  <c r="X125" i="15"/>
  <c r="Z125" i="15" s="1"/>
  <c r="T125" i="15"/>
  <c r="P125" i="15"/>
  <c r="L125" i="15"/>
  <c r="N125" i="15" s="1"/>
  <c r="H125" i="15"/>
  <c r="D125" i="15"/>
  <c r="B125" i="15"/>
  <c r="Z124" i="15"/>
  <c r="X124" i="15"/>
  <c r="L124" i="15"/>
  <c r="N124" i="15" s="1"/>
  <c r="J124" i="15"/>
  <c r="B124" i="15"/>
  <c r="Z123" i="15"/>
  <c r="X123" i="15"/>
  <c r="N123" i="15"/>
  <c r="L123" i="15"/>
  <c r="J123" i="15"/>
  <c r="B123" i="15"/>
  <c r="X122" i="15"/>
  <c r="Z122" i="15" s="1"/>
  <c r="T122" i="15"/>
  <c r="P122" i="15"/>
  <c r="H122" i="15"/>
  <c r="D122" i="15"/>
  <c r="B122" i="15"/>
  <c r="Z121" i="15"/>
  <c r="X121" i="15"/>
  <c r="N121" i="15"/>
  <c r="L121" i="15"/>
  <c r="J121" i="15"/>
  <c r="B121" i="15"/>
  <c r="T120" i="15"/>
  <c r="P120" i="15"/>
  <c r="X120" i="15" s="1"/>
  <c r="Z120" i="15" s="1"/>
  <c r="L120" i="15"/>
  <c r="N120" i="15" s="1"/>
  <c r="H120" i="15"/>
  <c r="D120" i="15"/>
  <c r="B120" i="15"/>
  <c r="Z119" i="15"/>
  <c r="X119" i="15"/>
  <c r="N119" i="15"/>
  <c r="L119" i="15"/>
  <c r="J119" i="15"/>
  <c r="B119" i="15"/>
  <c r="Z118" i="15"/>
  <c r="X118" i="15"/>
  <c r="N118" i="15"/>
  <c r="L118" i="15"/>
  <c r="B118" i="15"/>
  <c r="X117" i="15"/>
  <c r="Z117" i="15" s="1"/>
  <c r="N117" i="15"/>
  <c r="L117" i="15"/>
  <c r="J117" i="15"/>
  <c r="B117" i="15"/>
  <c r="X116" i="15"/>
  <c r="Z116" i="15" s="1"/>
  <c r="N116" i="15"/>
  <c r="L116" i="15"/>
  <c r="B116" i="15"/>
  <c r="Z115" i="15"/>
  <c r="X115" i="15"/>
  <c r="N115" i="15"/>
  <c r="L115" i="15"/>
  <c r="J115" i="15"/>
  <c r="B115" i="15"/>
  <c r="X114" i="15"/>
  <c r="Z114" i="15" s="1"/>
  <c r="L114" i="15"/>
  <c r="N114" i="15" s="1"/>
  <c r="B114" i="15"/>
  <c r="X113" i="15"/>
  <c r="Z113" i="15" s="1"/>
  <c r="N113" i="15"/>
  <c r="L113" i="15"/>
  <c r="J113" i="15"/>
  <c r="B113" i="15"/>
  <c r="Z112" i="15"/>
  <c r="X112" i="15"/>
  <c r="N112" i="15"/>
  <c r="L112" i="15"/>
  <c r="B112" i="15"/>
  <c r="X111" i="15"/>
  <c r="Z111" i="15" s="1"/>
  <c r="N111" i="15"/>
  <c r="L111" i="15"/>
  <c r="J111" i="15"/>
  <c r="B111" i="15"/>
  <c r="X110" i="15"/>
  <c r="Z110" i="15" s="1"/>
  <c r="N110" i="15"/>
  <c r="L110" i="15"/>
  <c r="B110" i="15"/>
  <c r="Z109" i="15"/>
  <c r="X109" i="15"/>
  <c r="T109" i="15"/>
  <c r="P109" i="15"/>
  <c r="L109" i="15"/>
  <c r="N109" i="15" s="1"/>
  <c r="J109" i="15"/>
  <c r="H109" i="15"/>
  <c r="D109" i="15"/>
  <c r="B109" i="15"/>
  <c r="X108" i="15"/>
  <c r="Z108" i="15" s="1"/>
  <c r="N108" i="15"/>
  <c r="L108" i="15"/>
  <c r="J108" i="15"/>
  <c r="B108" i="15"/>
  <c r="X107" i="15"/>
  <c r="Z107" i="15" s="1"/>
  <c r="N107" i="15"/>
  <c r="L107" i="15"/>
  <c r="B107" i="15"/>
  <c r="X106" i="15"/>
  <c r="Z106" i="15" s="1"/>
  <c r="L106" i="15"/>
  <c r="N106" i="15" s="1"/>
  <c r="J106" i="15"/>
  <c r="B106" i="15"/>
  <c r="Z105" i="15"/>
  <c r="X105" i="15"/>
  <c r="N105" i="15"/>
  <c r="L105" i="15"/>
  <c r="J105" i="15"/>
  <c r="B105" i="15"/>
  <c r="Z104" i="15"/>
  <c r="X104" i="15"/>
  <c r="N104" i="15"/>
  <c r="L104" i="15"/>
  <c r="J104" i="15"/>
  <c r="B104" i="15"/>
  <c r="Z103" i="15"/>
  <c r="X103" i="15"/>
  <c r="N103" i="15"/>
  <c r="L103" i="15"/>
  <c r="J103" i="15"/>
  <c r="B103" i="15"/>
  <c r="Z102" i="15"/>
  <c r="X102" i="15"/>
  <c r="L102" i="15"/>
  <c r="N102" i="15" s="1"/>
  <c r="B102" i="15"/>
  <c r="Z101" i="15"/>
  <c r="X101" i="15"/>
  <c r="N101" i="15"/>
  <c r="L101" i="15"/>
  <c r="J101" i="15"/>
  <c r="B101" i="15"/>
  <c r="X100" i="15"/>
  <c r="Z100" i="15" s="1"/>
  <c r="N100" i="15"/>
  <c r="L100" i="15"/>
  <c r="J100" i="15"/>
  <c r="B100" i="15"/>
  <c r="X99" i="15"/>
  <c r="Z99" i="15" s="1"/>
  <c r="N99" i="15"/>
  <c r="L99" i="15"/>
  <c r="J99" i="15"/>
  <c r="B99" i="15"/>
  <c r="T98" i="15"/>
  <c r="P98" i="15"/>
  <c r="X98" i="15" s="1"/>
  <c r="Z98" i="15" s="1"/>
  <c r="L98" i="15"/>
  <c r="N98" i="15" s="1"/>
  <c r="H98" i="15"/>
  <c r="D98" i="15"/>
  <c r="B98" i="15"/>
  <c r="Z97" i="15"/>
  <c r="T97" i="15"/>
  <c r="P97" i="15"/>
  <c r="X97" i="15" s="1"/>
  <c r="H97" i="15"/>
  <c r="D97" i="15"/>
  <c r="J95" i="15"/>
  <c r="H95" i="15"/>
  <c r="Z93" i="15"/>
  <c r="X93" i="15"/>
  <c r="N93" i="15"/>
  <c r="L93" i="15"/>
  <c r="B93" i="15"/>
  <c r="Z92" i="15"/>
  <c r="X92" i="15"/>
  <c r="N92" i="15"/>
  <c r="L92" i="15"/>
  <c r="J92" i="15"/>
  <c r="B92" i="15"/>
  <c r="Z91" i="15"/>
  <c r="X91" i="15"/>
  <c r="N91" i="15"/>
  <c r="L91" i="15"/>
  <c r="J91" i="15"/>
  <c r="B91" i="15"/>
  <c r="Z90" i="15"/>
  <c r="X90" i="15"/>
  <c r="N90" i="15"/>
  <c r="L90" i="15"/>
  <c r="J90" i="15"/>
  <c r="B90" i="15"/>
  <c r="Z89" i="15"/>
  <c r="X89" i="15"/>
  <c r="N89" i="15"/>
  <c r="L89" i="15"/>
  <c r="J89" i="15"/>
  <c r="B89" i="15"/>
  <c r="Z88" i="15"/>
  <c r="X88" i="15"/>
  <c r="N88" i="15"/>
  <c r="L88" i="15"/>
  <c r="B88" i="15"/>
  <c r="Z87" i="15"/>
  <c r="X87" i="15"/>
  <c r="N87" i="15"/>
  <c r="L87" i="15"/>
  <c r="J87" i="15"/>
  <c r="B87" i="15"/>
  <c r="Z86" i="15"/>
  <c r="X86" i="15"/>
  <c r="N86" i="15"/>
  <c r="L86" i="15"/>
  <c r="B86" i="15"/>
  <c r="Z85" i="15"/>
  <c r="X85" i="15"/>
  <c r="N85" i="15"/>
  <c r="L85" i="15"/>
  <c r="J85" i="15"/>
  <c r="B85" i="15"/>
  <c r="Z84" i="15"/>
  <c r="X84" i="15"/>
  <c r="N84" i="15"/>
  <c r="L84" i="15"/>
  <c r="B84" i="15"/>
  <c r="Z83" i="15"/>
  <c r="X83" i="15"/>
  <c r="N83" i="15"/>
  <c r="L83" i="15"/>
  <c r="J83" i="15"/>
  <c r="B83" i="15"/>
  <c r="Z82" i="15"/>
  <c r="X82" i="15"/>
  <c r="N82" i="15"/>
  <c r="L82" i="15"/>
  <c r="B82" i="15"/>
  <c r="Z81" i="15"/>
  <c r="X81" i="15"/>
  <c r="N81" i="15"/>
  <c r="L81" i="15"/>
  <c r="J81" i="15"/>
  <c r="B81" i="15"/>
  <c r="Z80" i="15"/>
  <c r="X80" i="15"/>
  <c r="N80" i="15"/>
  <c r="L80" i="15"/>
  <c r="B80" i="15"/>
  <c r="Z79" i="15"/>
  <c r="X79" i="15"/>
  <c r="N79" i="15"/>
  <c r="L79" i="15"/>
  <c r="J79" i="15"/>
  <c r="B79" i="15"/>
  <c r="Z78" i="15"/>
  <c r="X78" i="15"/>
  <c r="N78" i="15"/>
  <c r="L78" i="15"/>
  <c r="B78" i="15"/>
  <c r="Z77" i="15"/>
  <c r="X77" i="15"/>
  <c r="N77" i="15"/>
  <c r="L77" i="15"/>
  <c r="J77" i="15"/>
  <c r="B77" i="15"/>
  <c r="Z76" i="15"/>
  <c r="X76" i="15"/>
  <c r="N76" i="15"/>
  <c r="L76" i="15"/>
  <c r="B76" i="15"/>
  <c r="Z75" i="15"/>
  <c r="X75" i="15"/>
  <c r="N75" i="15"/>
  <c r="L75" i="15"/>
  <c r="J75" i="15"/>
  <c r="B75" i="15"/>
  <c r="Z74" i="15"/>
  <c r="X74" i="15"/>
  <c r="N74" i="15"/>
  <c r="L74" i="15"/>
  <c r="B74" i="15"/>
  <c r="Z73" i="15"/>
  <c r="X73" i="15"/>
  <c r="N73" i="15"/>
  <c r="L73" i="15"/>
  <c r="J73" i="15"/>
  <c r="B73" i="15"/>
  <c r="X72" i="15"/>
  <c r="Z72" i="15" s="1"/>
  <c r="L72" i="15"/>
  <c r="N72" i="15" s="1"/>
  <c r="B72" i="15"/>
  <c r="T71" i="15"/>
  <c r="P71" i="15"/>
  <c r="X71" i="15" s="1"/>
  <c r="Z71" i="15" s="1"/>
  <c r="L71" i="15"/>
  <c r="N71" i="15" s="1"/>
  <c r="J71" i="15"/>
  <c r="H71" i="15"/>
  <c r="D71" i="15"/>
  <c r="Z69" i="15"/>
  <c r="P69" i="15"/>
  <c r="X69" i="15" s="1"/>
  <c r="N69" i="15"/>
  <c r="D69" i="15"/>
  <c r="L69" i="15" s="1"/>
  <c r="B69" i="15"/>
  <c r="Z68" i="15"/>
  <c r="X68" i="15"/>
  <c r="P68" i="15"/>
  <c r="N68" i="15"/>
  <c r="D68" i="15"/>
  <c r="L68" i="15" s="1"/>
  <c r="B68" i="15"/>
  <c r="Z67" i="15"/>
  <c r="P67" i="15"/>
  <c r="X67" i="15" s="1"/>
  <c r="N67" i="15"/>
  <c r="D67" i="15"/>
  <c r="L67" i="15" s="1"/>
  <c r="B67" i="15"/>
  <c r="Z66" i="15"/>
  <c r="X66" i="15"/>
  <c r="P66" i="15"/>
  <c r="N66" i="15"/>
  <c r="D66" i="15"/>
  <c r="L66" i="15" s="1"/>
  <c r="B66" i="15"/>
  <c r="Z65" i="15"/>
  <c r="X65" i="15"/>
  <c r="P65" i="15"/>
  <c r="N65" i="15"/>
  <c r="L65" i="15"/>
  <c r="D65" i="15"/>
  <c r="B65" i="15"/>
  <c r="Z64" i="15"/>
  <c r="P64" i="15"/>
  <c r="X64" i="15" s="1"/>
  <c r="N64" i="15"/>
  <c r="D64" i="15"/>
  <c r="L64" i="15" s="1"/>
  <c r="B64" i="15"/>
  <c r="Z63" i="15"/>
  <c r="P63" i="15"/>
  <c r="X63" i="15" s="1"/>
  <c r="N63" i="15"/>
  <c r="L63" i="15"/>
  <c r="D63" i="15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P60" i="15"/>
  <c r="X60" i="15" s="1"/>
  <c r="N60" i="15"/>
  <c r="D60" i="15"/>
  <c r="L60" i="15" s="1"/>
  <c r="B60" i="15"/>
  <c r="Z59" i="15"/>
  <c r="P59" i="15"/>
  <c r="X59" i="15" s="1"/>
  <c r="N59" i="15"/>
  <c r="L59" i="15"/>
  <c r="D59" i="15"/>
  <c r="B59" i="15"/>
  <c r="Z58" i="15"/>
  <c r="P58" i="15"/>
  <c r="X58" i="15" s="1"/>
  <c r="N58" i="15"/>
  <c r="D58" i="15"/>
  <c r="L58" i="15" s="1"/>
  <c r="B58" i="15"/>
  <c r="Z57" i="15"/>
  <c r="P57" i="15"/>
  <c r="X57" i="15" s="1"/>
  <c r="N57" i="15"/>
  <c r="D57" i="15"/>
  <c r="L57" i="15" s="1"/>
  <c r="B57" i="15"/>
  <c r="Z56" i="15"/>
  <c r="X56" i="15"/>
  <c r="P56" i="15"/>
  <c r="N56" i="15"/>
  <c r="D56" i="15"/>
  <c r="L56" i="15" s="1"/>
  <c r="B56" i="15"/>
  <c r="Z55" i="15"/>
  <c r="P55" i="15"/>
  <c r="X55" i="15" s="1"/>
  <c r="N55" i="15"/>
  <c r="D55" i="15"/>
  <c r="L55" i="15" s="1"/>
  <c r="B55" i="15"/>
  <c r="Z54" i="15"/>
  <c r="X54" i="15"/>
  <c r="P54" i="15"/>
  <c r="N54" i="15"/>
  <c r="D54" i="15"/>
  <c r="L54" i="15" s="1"/>
  <c r="B54" i="15"/>
  <c r="Z53" i="15"/>
  <c r="X53" i="15"/>
  <c r="P53" i="15"/>
  <c r="N53" i="15"/>
  <c r="L53" i="15"/>
  <c r="D53" i="15"/>
  <c r="B53" i="15"/>
  <c r="Z52" i="15"/>
  <c r="P52" i="15"/>
  <c r="X52" i="15" s="1"/>
  <c r="N52" i="15"/>
  <c r="D52" i="15"/>
  <c r="L52" i="15" s="1"/>
  <c r="B52" i="15"/>
  <c r="Z51" i="15"/>
  <c r="P51" i="15"/>
  <c r="X51" i="15" s="1"/>
  <c r="N51" i="15"/>
  <c r="L51" i="15"/>
  <c r="D51" i="15"/>
  <c r="B51" i="15"/>
  <c r="Z50" i="15"/>
  <c r="X50" i="15"/>
  <c r="P50" i="15"/>
  <c r="N50" i="15"/>
  <c r="L50" i="15"/>
  <c r="D50" i="15"/>
  <c r="B50" i="15"/>
  <c r="Z49" i="15"/>
  <c r="P49" i="15"/>
  <c r="X49" i="15" s="1"/>
  <c r="N49" i="15"/>
  <c r="D49" i="15"/>
  <c r="L49" i="15" s="1"/>
  <c r="B49" i="15"/>
  <c r="Z48" i="15"/>
  <c r="P48" i="15"/>
  <c r="X48" i="15" s="1"/>
  <c r="N48" i="15"/>
  <c r="D48" i="15"/>
  <c r="L48" i="15" s="1"/>
  <c r="B48" i="15"/>
  <c r="Z47" i="15"/>
  <c r="P47" i="15"/>
  <c r="X47" i="15" s="1"/>
  <c r="N47" i="15"/>
  <c r="L47" i="15"/>
  <c r="D47" i="15"/>
  <c r="B47" i="15"/>
  <c r="Z46" i="15"/>
  <c r="P46" i="15"/>
  <c r="X46" i="15" s="1"/>
  <c r="N46" i="15"/>
  <c r="D46" i="15"/>
  <c r="L46" i="15" s="1"/>
  <c r="B46" i="15"/>
  <c r="Z45" i="15"/>
  <c r="P45" i="15"/>
  <c r="X45" i="15" s="1"/>
  <c r="N45" i="15"/>
  <c r="D45" i="15"/>
  <c r="L45" i="15" s="1"/>
  <c r="B45" i="15"/>
  <c r="Z44" i="15"/>
  <c r="X44" i="15"/>
  <c r="P44" i="15"/>
  <c r="N44" i="15"/>
  <c r="D44" i="15"/>
  <c r="L44" i="15" s="1"/>
  <c r="B44" i="15"/>
  <c r="Z43" i="15"/>
  <c r="P43" i="15"/>
  <c r="X43" i="15" s="1"/>
  <c r="N43" i="15"/>
  <c r="D43" i="15"/>
  <c r="L43" i="15" s="1"/>
  <c r="B43" i="15"/>
  <c r="Z42" i="15"/>
  <c r="X42" i="15"/>
  <c r="P42" i="15"/>
  <c r="N42" i="15"/>
  <c r="D42" i="15"/>
  <c r="L42" i="15" s="1"/>
  <c r="B42" i="15"/>
  <c r="Z41" i="15"/>
  <c r="X41" i="15"/>
  <c r="P41" i="15"/>
  <c r="N41" i="15"/>
  <c r="L41" i="15"/>
  <c r="D41" i="15"/>
  <c r="B41" i="15"/>
  <c r="Z40" i="15"/>
  <c r="P40" i="15"/>
  <c r="X40" i="15" s="1"/>
  <c r="N40" i="15"/>
  <c r="D40" i="15"/>
  <c r="L40" i="15" s="1"/>
  <c r="B40" i="15"/>
  <c r="Z39" i="15"/>
  <c r="P39" i="15"/>
  <c r="X39" i="15" s="1"/>
  <c r="N39" i="15"/>
  <c r="L39" i="15"/>
  <c r="D39" i="15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P36" i="15"/>
  <c r="X36" i="15" s="1"/>
  <c r="N36" i="15"/>
  <c r="D36" i="15"/>
  <c r="L36" i="15" s="1"/>
  <c r="B36" i="15"/>
  <c r="Z35" i="15"/>
  <c r="P35" i="15"/>
  <c r="X35" i="15" s="1"/>
  <c r="N35" i="15"/>
  <c r="L35" i="15"/>
  <c r="D35" i="15"/>
  <c r="B35" i="15"/>
  <c r="Z34" i="15"/>
  <c r="P34" i="15"/>
  <c r="X34" i="15" s="1"/>
  <c r="N34" i="15"/>
  <c r="D34" i="15"/>
  <c r="L34" i="15" s="1"/>
  <c r="B34" i="15"/>
  <c r="Z33" i="15"/>
  <c r="P33" i="15"/>
  <c r="X33" i="15" s="1"/>
  <c r="N33" i="15"/>
  <c r="D33" i="15"/>
  <c r="L33" i="15" s="1"/>
  <c r="B33" i="15"/>
  <c r="X32" i="15"/>
  <c r="Z32" i="15" s="1"/>
  <c r="P32" i="15"/>
  <c r="D32" i="15"/>
  <c r="L32" i="15" s="1"/>
  <c r="N32" i="15" s="1"/>
  <c r="B32" i="15"/>
  <c r="Z31" i="15"/>
  <c r="P31" i="15"/>
  <c r="X31" i="15" s="1"/>
  <c r="N31" i="15"/>
  <c r="D31" i="15"/>
  <c r="L31" i="15" s="1"/>
  <c r="B31" i="15"/>
  <c r="Z30" i="15"/>
  <c r="X30" i="15"/>
  <c r="P30" i="15"/>
  <c r="N30" i="15"/>
  <c r="D30" i="15"/>
  <c r="L30" i="15" s="1"/>
  <c r="B30" i="15"/>
  <c r="Z29" i="15"/>
  <c r="X29" i="15"/>
  <c r="P29" i="15"/>
  <c r="N29" i="15"/>
  <c r="L29" i="15"/>
  <c r="D29" i="15"/>
  <c r="B29" i="15"/>
  <c r="Z28" i="15"/>
  <c r="P28" i="15"/>
  <c r="X28" i="15" s="1"/>
  <c r="N28" i="15"/>
  <c r="D28" i="15"/>
  <c r="L28" i="15" s="1"/>
  <c r="B28" i="15"/>
  <c r="Z27" i="15"/>
  <c r="P27" i="15"/>
  <c r="X27" i="15" s="1"/>
  <c r="N27" i="15"/>
  <c r="L27" i="15"/>
  <c r="D27" i="15"/>
  <c r="B27" i="15"/>
  <c r="Z26" i="15"/>
  <c r="X26" i="15"/>
  <c r="P26" i="15"/>
  <c r="N26" i="15"/>
  <c r="L26" i="15"/>
  <c r="D26" i="15"/>
  <c r="B26" i="15"/>
  <c r="Z25" i="15"/>
  <c r="P25" i="15"/>
  <c r="X25" i="15" s="1"/>
  <c r="N25" i="15"/>
  <c r="D25" i="15"/>
  <c r="L25" i="15" s="1"/>
  <c r="B25" i="15"/>
  <c r="Z24" i="15"/>
  <c r="P24" i="15"/>
  <c r="X24" i="15" s="1"/>
  <c r="N24" i="15"/>
  <c r="D24" i="15"/>
  <c r="D12" i="15" s="1"/>
  <c r="B24" i="15"/>
  <c r="Z23" i="15"/>
  <c r="P23" i="15"/>
  <c r="X23" i="15" s="1"/>
  <c r="N23" i="15"/>
  <c r="L23" i="15"/>
  <c r="D23" i="15"/>
  <c r="B23" i="15"/>
  <c r="Z22" i="15"/>
  <c r="P22" i="15"/>
  <c r="X22" i="15" s="1"/>
  <c r="N22" i="15"/>
  <c r="D22" i="15"/>
  <c r="L22" i="15" s="1"/>
  <c r="B22" i="15"/>
  <c r="Z21" i="15"/>
  <c r="P21" i="15"/>
  <c r="X21" i="15" s="1"/>
  <c r="N21" i="15"/>
  <c r="D21" i="15"/>
  <c r="L21" i="15" s="1"/>
  <c r="B21" i="15"/>
  <c r="Z20" i="15"/>
  <c r="X20" i="15"/>
  <c r="P20" i="15"/>
  <c r="N20" i="15"/>
  <c r="D20" i="15"/>
  <c r="L20" i="15" s="1"/>
  <c r="B20" i="15"/>
  <c r="Z19" i="15"/>
  <c r="P19" i="15"/>
  <c r="X19" i="15" s="1"/>
  <c r="N19" i="15"/>
  <c r="D19" i="15"/>
  <c r="L19" i="15" s="1"/>
  <c r="B19" i="15"/>
  <c r="Z18" i="15"/>
  <c r="X18" i="15"/>
  <c r="P18" i="15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P16" i="15"/>
  <c r="X16" i="15" s="1"/>
  <c r="N16" i="15"/>
  <c r="D16" i="15"/>
  <c r="L16" i="15" s="1"/>
  <c r="B16" i="15"/>
  <c r="Z15" i="15"/>
  <c r="P15" i="15"/>
  <c r="X15" i="15" s="1"/>
  <c r="N15" i="15"/>
  <c r="L15" i="15"/>
  <c r="D15" i="15"/>
  <c r="B15" i="15"/>
  <c r="Z14" i="15"/>
  <c r="X14" i="15"/>
  <c r="P14" i="15"/>
  <c r="N14" i="15"/>
  <c r="L14" i="15"/>
  <c r="D14" i="15"/>
  <c r="B14" i="15"/>
  <c r="P13" i="15"/>
  <c r="P12" i="15" s="1"/>
  <c r="D13" i="15"/>
  <c r="L13" i="15" s="1"/>
  <c r="N13" i="15" s="1"/>
  <c r="B13" i="15"/>
  <c r="T12" i="15"/>
  <c r="V197" i="15" s="1"/>
  <c r="H12" i="15"/>
  <c r="D4" i="15"/>
  <c r="Z209" i="12"/>
  <c r="X209" i="12"/>
  <c r="L209" i="12"/>
  <c r="N209" i="12" s="1"/>
  <c r="Z205" i="12"/>
  <c r="P205" i="12"/>
  <c r="X205" i="12" s="1"/>
  <c r="N205" i="12"/>
  <c r="D205" i="12"/>
  <c r="L205" i="12" s="1"/>
  <c r="B205" i="12"/>
  <c r="Z204" i="12"/>
  <c r="X204" i="12"/>
  <c r="P204" i="12"/>
  <c r="N204" i="12"/>
  <c r="D204" i="12"/>
  <c r="L204" i="12" s="1"/>
  <c r="B204" i="12"/>
  <c r="P203" i="12"/>
  <c r="P201" i="12" s="1"/>
  <c r="X201" i="12" s="1"/>
  <c r="Z201" i="12" s="1"/>
  <c r="L203" i="12"/>
  <c r="N203" i="12" s="1"/>
  <c r="D203" i="12"/>
  <c r="B203" i="12"/>
  <c r="X202" i="12"/>
  <c r="Z202" i="12" s="1"/>
  <c r="P202" i="12"/>
  <c r="L202" i="12"/>
  <c r="N202" i="12" s="1"/>
  <c r="D202" i="12"/>
  <c r="B202" i="12"/>
  <c r="V201" i="12"/>
  <c r="T201" i="12"/>
  <c r="H201" i="12"/>
  <c r="D201" i="12"/>
  <c r="L201" i="12" s="1"/>
  <c r="N201" i="12" s="1"/>
  <c r="X199" i="12"/>
  <c r="Z199" i="12" s="1"/>
  <c r="V199" i="12"/>
  <c r="N199" i="12"/>
  <c r="L199" i="12"/>
  <c r="B199" i="12"/>
  <c r="T198" i="12"/>
  <c r="P198" i="12"/>
  <c r="X198" i="12" s="1"/>
  <c r="H198" i="12"/>
  <c r="D198" i="12"/>
  <c r="L198" i="12" s="1"/>
  <c r="B198" i="12"/>
  <c r="X197" i="12"/>
  <c r="Z197" i="12" s="1"/>
  <c r="N197" i="12"/>
  <c r="L197" i="12"/>
  <c r="B197" i="12"/>
  <c r="X196" i="12"/>
  <c r="Z196" i="12" s="1"/>
  <c r="N196" i="12"/>
  <c r="L196" i="12"/>
  <c r="B196" i="12"/>
  <c r="Z195" i="12"/>
  <c r="X195" i="12"/>
  <c r="N195" i="12"/>
  <c r="L195" i="12"/>
  <c r="B195" i="12"/>
  <c r="X194" i="12"/>
  <c r="T194" i="12"/>
  <c r="Z194" i="12" s="1"/>
  <c r="P194" i="12"/>
  <c r="L194" i="12"/>
  <c r="N194" i="12" s="1"/>
  <c r="H194" i="12"/>
  <c r="D194" i="12"/>
  <c r="B194" i="12"/>
  <c r="Z193" i="12"/>
  <c r="X193" i="12"/>
  <c r="L193" i="12"/>
  <c r="N193" i="12" s="1"/>
  <c r="B193" i="12"/>
  <c r="T192" i="12"/>
  <c r="P192" i="12"/>
  <c r="X192" i="12" s="1"/>
  <c r="H192" i="12"/>
  <c r="D192" i="12"/>
  <c r="B192" i="12"/>
  <c r="X191" i="12"/>
  <c r="Z191" i="12" s="1"/>
  <c r="V191" i="12"/>
  <c r="N191" i="12"/>
  <c r="L191" i="12"/>
  <c r="B191" i="12"/>
  <c r="X190" i="12"/>
  <c r="Z190" i="12" s="1"/>
  <c r="L190" i="12"/>
  <c r="N190" i="12" s="1"/>
  <c r="B190" i="12"/>
  <c r="T189" i="12"/>
  <c r="P189" i="12"/>
  <c r="X189" i="12" s="1"/>
  <c r="Z189" i="12" s="1"/>
  <c r="L189" i="12"/>
  <c r="N189" i="12" s="1"/>
  <c r="H189" i="12"/>
  <c r="D189" i="12"/>
  <c r="B189" i="12"/>
  <c r="X188" i="12"/>
  <c r="Z188" i="12" s="1"/>
  <c r="N188" i="12"/>
  <c r="L188" i="12"/>
  <c r="B188" i="12"/>
  <c r="Z187" i="12"/>
  <c r="X187" i="12"/>
  <c r="N187" i="12"/>
  <c r="L187" i="12"/>
  <c r="B187" i="12"/>
  <c r="X186" i="12"/>
  <c r="Z186" i="12" s="1"/>
  <c r="L186" i="12"/>
  <c r="N186" i="12" s="1"/>
  <c r="B186" i="12"/>
  <c r="X185" i="12"/>
  <c r="Z185" i="12" s="1"/>
  <c r="N185" i="12"/>
  <c r="L185" i="12"/>
  <c r="B185" i="12"/>
  <c r="X184" i="12"/>
  <c r="Z184" i="12" s="1"/>
  <c r="N184" i="12"/>
  <c r="L184" i="12"/>
  <c r="B184" i="12"/>
  <c r="Z183" i="12"/>
  <c r="X183" i="12"/>
  <c r="N183" i="12"/>
  <c r="L183" i="12"/>
  <c r="B183" i="12"/>
  <c r="X182" i="12"/>
  <c r="Z182" i="12" s="1"/>
  <c r="L182" i="12"/>
  <c r="N182" i="12" s="1"/>
  <c r="B182" i="12"/>
  <c r="X181" i="12"/>
  <c r="Z181" i="12" s="1"/>
  <c r="N181" i="12"/>
  <c r="L181" i="12"/>
  <c r="B181" i="12"/>
  <c r="X180" i="12"/>
  <c r="Z180" i="12" s="1"/>
  <c r="N180" i="12"/>
  <c r="L180" i="12"/>
  <c r="B180" i="12"/>
  <c r="T179" i="12"/>
  <c r="X179" i="12" s="1"/>
  <c r="Z179" i="12" s="1"/>
  <c r="P179" i="12"/>
  <c r="L179" i="12"/>
  <c r="H179" i="12"/>
  <c r="N179" i="12" s="1"/>
  <c r="D179" i="12"/>
  <c r="B179" i="12"/>
  <c r="X178" i="12"/>
  <c r="Z178" i="12" s="1"/>
  <c r="L178" i="12"/>
  <c r="N178" i="12" s="1"/>
  <c r="B178" i="12"/>
  <c r="Z177" i="12"/>
  <c r="X177" i="12"/>
  <c r="V177" i="12"/>
  <c r="L177" i="12"/>
  <c r="N177" i="12" s="1"/>
  <c r="B177" i="12"/>
  <c r="T176" i="12"/>
  <c r="P176" i="12"/>
  <c r="X176" i="12" s="1"/>
  <c r="H176" i="12"/>
  <c r="D176" i="12"/>
  <c r="B176" i="12"/>
  <c r="X175" i="12"/>
  <c r="Z175" i="12" s="1"/>
  <c r="V175" i="12"/>
  <c r="N175" i="12"/>
  <c r="L175" i="12"/>
  <c r="B175" i="12"/>
  <c r="X174" i="12"/>
  <c r="Z174" i="12" s="1"/>
  <c r="L174" i="12"/>
  <c r="N174" i="12" s="1"/>
  <c r="B174" i="12"/>
  <c r="X173" i="12"/>
  <c r="Z173" i="12" s="1"/>
  <c r="V173" i="12"/>
  <c r="L173" i="12"/>
  <c r="N173" i="12" s="1"/>
  <c r="B173" i="12"/>
  <c r="Z172" i="12"/>
  <c r="X172" i="12"/>
  <c r="N172" i="12"/>
  <c r="L172" i="12"/>
  <c r="B172" i="12"/>
  <c r="X171" i="12"/>
  <c r="Z171" i="12" s="1"/>
  <c r="V171" i="12"/>
  <c r="N171" i="12"/>
  <c r="L171" i="12"/>
  <c r="B171" i="12"/>
  <c r="T170" i="12"/>
  <c r="P170" i="12"/>
  <c r="X170" i="12" s="1"/>
  <c r="L170" i="12"/>
  <c r="H170" i="12"/>
  <c r="N170" i="12" s="1"/>
  <c r="D170" i="12"/>
  <c r="B170" i="12"/>
  <c r="X169" i="12"/>
  <c r="Z169" i="12" s="1"/>
  <c r="N169" i="12"/>
  <c r="L169" i="12"/>
  <c r="B169" i="12"/>
  <c r="X168" i="12"/>
  <c r="Z168" i="12" s="1"/>
  <c r="N168" i="12"/>
  <c r="L168" i="12"/>
  <c r="B168" i="12"/>
  <c r="Z167" i="12"/>
  <c r="X167" i="12"/>
  <c r="N167" i="12"/>
  <c r="L167" i="12"/>
  <c r="B167" i="12"/>
  <c r="X166" i="12"/>
  <c r="Z166" i="12" s="1"/>
  <c r="L166" i="12"/>
  <c r="N166" i="12" s="1"/>
  <c r="B166" i="12"/>
  <c r="X165" i="12"/>
  <c r="T165" i="12"/>
  <c r="Z165" i="12" s="1"/>
  <c r="P165" i="12"/>
  <c r="H165" i="12"/>
  <c r="L165" i="12" s="1"/>
  <c r="N165" i="12" s="1"/>
  <c r="D165" i="12"/>
  <c r="B165" i="12"/>
  <c r="Z164" i="12"/>
  <c r="X164" i="12"/>
  <c r="L164" i="12"/>
  <c r="N164" i="12" s="1"/>
  <c r="B164" i="12"/>
  <c r="Z163" i="12"/>
  <c r="X163" i="12"/>
  <c r="L163" i="12"/>
  <c r="N163" i="12" s="1"/>
  <c r="B163" i="12"/>
  <c r="Z162" i="12"/>
  <c r="X162" i="12"/>
  <c r="N162" i="12"/>
  <c r="L162" i="12"/>
  <c r="B162" i="12"/>
  <c r="Z161" i="12"/>
  <c r="X161" i="12"/>
  <c r="V161" i="12"/>
  <c r="N161" i="12"/>
  <c r="L161" i="12"/>
  <c r="B161" i="12"/>
  <c r="T160" i="12"/>
  <c r="Z160" i="12" s="1"/>
  <c r="P160" i="12"/>
  <c r="X160" i="12" s="1"/>
  <c r="H160" i="12"/>
  <c r="D160" i="12"/>
  <c r="B160" i="12"/>
  <c r="X159" i="12"/>
  <c r="Z159" i="12" s="1"/>
  <c r="V159" i="12"/>
  <c r="N159" i="12"/>
  <c r="L159" i="12"/>
  <c r="B159" i="12"/>
  <c r="V158" i="12"/>
  <c r="T158" i="12"/>
  <c r="P158" i="12"/>
  <c r="X158" i="12" s="1"/>
  <c r="L158" i="12"/>
  <c r="H158" i="12"/>
  <c r="N158" i="12" s="1"/>
  <c r="D158" i="12"/>
  <c r="B158" i="12"/>
  <c r="X157" i="12"/>
  <c r="Z157" i="12" s="1"/>
  <c r="N157" i="12"/>
  <c r="L157" i="12"/>
  <c r="B157" i="12"/>
  <c r="X156" i="12"/>
  <c r="Z156" i="12" s="1"/>
  <c r="T156" i="12"/>
  <c r="P156" i="12"/>
  <c r="L156" i="12"/>
  <c r="H156" i="12"/>
  <c r="N156" i="12" s="1"/>
  <c r="D156" i="12"/>
  <c r="B156" i="12"/>
  <c r="Z155" i="12"/>
  <c r="X155" i="12"/>
  <c r="L155" i="12"/>
  <c r="N155" i="12" s="1"/>
  <c r="B155" i="12"/>
  <c r="T154" i="12"/>
  <c r="P154" i="12"/>
  <c r="H154" i="12"/>
  <c r="D154" i="12"/>
  <c r="L154" i="12" s="1"/>
  <c r="B154" i="12"/>
  <c r="X153" i="12"/>
  <c r="Z153" i="12" s="1"/>
  <c r="V153" i="12"/>
  <c r="L153" i="12"/>
  <c r="N153" i="12" s="1"/>
  <c r="B153" i="12"/>
  <c r="X152" i="12"/>
  <c r="T152" i="12"/>
  <c r="Z152" i="12" s="1"/>
  <c r="P152" i="12"/>
  <c r="H152" i="12"/>
  <c r="N152" i="12" s="1"/>
  <c r="D152" i="12"/>
  <c r="L152" i="12" s="1"/>
  <c r="B152" i="12"/>
  <c r="Z151" i="12"/>
  <c r="X151" i="12"/>
  <c r="V151" i="12"/>
  <c r="N151" i="12"/>
  <c r="L151" i="12"/>
  <c r="B151" i="12"/>
  <c r="X150" i="12"/>
  <c r="T150" i="12"/>
  <c r="Z150" i="12" s="1"/>
  <c r="P150" i="12"/>
  <c r="L150" i="12"/>
  <c r="N150" i="12" s="1"/>
  <c r="H150" i="12"/>
  <c r="D150" i="12"/>
  <c r="B150" i="12"/>
  <c r="Z149" i="12"/>
  <c r="X149" i="12"/>
  <c r="V149" i="12"/>
  <c r="L149" i="12"/>
  <c r="N149" i="12" s="1"/>
  <c r="B149" i="12"/>
  <c r="Z148" i="12"/>
  <c r="X148" i="12"/>
  <c r="V148" i="12"/>
  <c r="N148" i="12"/>
  <c r="L148" i="12"/>
  <c r="B148" i="12"/>
  <c r="Z147" i="12"/>
  <c r="X147" i="12"/>
  <c r="L147" i="12"/>
  <c r="N147" i="12" s="1"/>
  <c r="B147" i="12"/>
  <c r="T146" i="12"/>
  <c r="P146" i="12"/>
  <c r="H146" i="12"/>
  <c r="D146" i="12"/>
  <c r="L146" i="12" s="1"/>
  <c r="B146" i="12"/>
  <c r="X145" i="12"/>
  <c r="Z145" i="12" s="1"/>
  <c r="V145" i="12"/>
  <c r="L145" i="12"/>
  <c r="N145" i="12" s="1"/>
  <c r="B145" i="12"/>
  <c r="X144" i="12"/>
  <c r="Z144" i="12" s="1"/>
  <c r="L144" i="12"/>
  <c r="N144" i="12" s="1"/>
  <c r="B144" i="12"/>
  <c r="X143" i="12"/>
  <c r="Z143" i="12" s="1"/>
  <c r="V143" i="12"/>
  <c r="T143" i="12"/>
  <c r="P143" i="12"/>
  <c r="H143" i="12"/>
  <c r="D143" i="12"/>
  <c r="L143" i="12" s="1"/>
  <c r="N143" i="12" s="1"/>
  <c r="B143" i="12"/>
  <c r="X142" i="12"/>
  <c r="Z142" i="12" s="1"/>
  <c r="L142" i="12"/>
  <c r="N142" i="12" s="1"/>
  <c r="B142" i="12"/>
  <c r="X141" i="12"/>
  <c r="T141" i="12"/>
  <c r="Z141" i="12" s="1"/>
  <c r="P141" i="12"/>
  <c r="H141" i="12"/>
  <c r="L141" i="12" s="1"/>
  <c r="N141" i="12" s="1"/>
  <c r="D141" i="12"/>
  <c r="B141" i="12"/>
  <c r="Z140" i="12"/>
  <c r="X140" i="12"/>
  <c r="V140" i="12"/>
  <c r="L140" i="12"/>
  <c r="N140" i="12" s="1"/>
  <c r="B140" i="12"/>
  <c r="T139" i="12"/>
  <c r="V139" i="12" s="1"/>
  <c r="P139" i="12"/>
  <c r="X139" i="12" s="1"/>
  <c r="Z139" i="12" s="1"/>
  <c r="H139" i="12"/>
  <c r="D139" i="12"/>
  <c r="L139" i="12" s="1"/>
  <c r="N139" i="12" s="1"/>
  <c r="B139" i="12"/>
  <c r="X138" i="12"/>
  <c r="Z138" i="12" s="1"/>
  <c r="V138" i="12"/>
  <c r="L138" i="12"/>
  <c r="N138" i="12" s="1"/>
  <c r="B138" i="12"/>
  <c r="Z137" i="12"/>
  <c r="X137" i="12"/>
  <c r="V137" i="12"/>
  <c r="N137" i="12"/>
  <c r="L137" i="12"/>
  <c r="B137" i="12"/>
  <c r="X136" i="12"/>
  <c r="T136" i="12"/>
  <c r="V136" i="12" s="1"/>
  <c r="P136" i="12"/>
  <c r="H136" i="12"/>
  <c r="N136" i="12" s="1"/>
  <c r="D136" i="12"/>
  <c r="L136" i="12" s="1"/>
  <c r="B136" i="12"/>
  <c r="Z135" i="12"/>
  <c r="X135" i="12"/>
  <c r="V135" i="12"/>
  <c r="N135" i="12"/>
  <c r="L135" i="12"/>
  <c r="B135" i="12"/>
  <c r="X134" i="12"/>
  <c r="T134" i="12"/>
  <c r="Z134" i="12" s="1"/>
  <c r="P134" i="12"/>
  <c r="L134" i="12"/>
  <c r="N134" i="12" s="1"/>
  <c r="H134" i="12"/>
  <c r="D134" i="12"/>
  <c r="B134" i="12"/>
  <c r="Z133" i="12"/>
  <c r="X133" i="12"/>
  <c r="V133" i="12"/>
  <c r="L133" i="12"/>
  <c r="N133" i="12" s="1"/>
  <c r="B133" i="12"/>
  <c r="Z132" i="12"/>
  <c r="X132" i="12"/>
  <c r="V132" i="12"/>
  <c r="N132" i="12"/>
  <c r="L132" i="12"/>
  <c r="B132" i="12"/>
  <c r="T131" i="12"/>
  <c r="V131" i="12" s="1"/>
  <c r="P131" i="12"/>
  <c r="X131" i="12" s="1"/>
  <c r="Z131" i="12" s="1"/>
  <c r="H131" i="12"/>
  <c r="D131" i="12"/>
  <c r="L131" i="12" s="1"/>
  <c r="N131" i="12" s="1"/>
  <c r="B131" i="12"/>
  <c r="X130" i="12"/>
  <c r="Z130" i="12" s="1"/>
  <c r="V130" i="12"/>
  <c r="L130" i="12"/>
  <c r="N130" i="12" s="1"/>
  <c r="B130" i="12"/>
  <c r="X129" i="12"/>
  <c r="Z129" i="12" s="1"/>
  <c r="V129" i="12"/>
  <c r="T129" i="12"/>
  <c r="P129" i="12"/>
  <c r="L129" i="12"/>
  <c r="N129" i="12" s="1"/>
  <c r="H129" i="12"/>
  <c r="D129" i="12"/>
  <c r="B129" i="12"/>
  <c r="X128" i="12"/>
  <c r="Z128" i="12" s="1"/>
  <c r="N128" i="12"/>
  <c r="L128" i="12"/>
  <c r="B128" i="12"/>
  <c r="Z127" i="12"/>
  <c r="X127" i="12"/>
  <c r="V127" i="12"/>
  <c r="N127" i="12"/>
  <c r="L127" i="12"/>
  <c r="B127" i="12"/>
  <c r="X126" i="12"/>
  <c r="T126" i="12"/>
  <c r="Z126" i="12" s="1"/>
  <c r="P126" i="12"/>
  <c r="L126" i="12"/>
  <c r="N126" i="12" s="1"/>
  <c r="H126" i="12"/>
  <c r="D126" i="12"/>
  <c r="B126" i="12"/>
  <c r="Z125" i="12"/>
  <c r="X125" i="12"/>
  <c r="V125" i="12"/>
  <c r="L125" i="12"/>
  <c r="N125" i="12" s="1"/>
  <c r="B125" i="12"/>
  <c r="T124" i="12"/>
  <c r="Z124" i="12" s="1"/>
  <c r="P124" i="12"/>
  <c r="X124" i="12" s="1"/>
  <c r="H124" i="12"/>
  <c r="D124" i="12"/>
  <c r="B124" i="12"/>
  <c r="Z123" i="12"/>
  <c r="X123" i="12"/>
  <c r="V123" i="12"/>
  <c r="N123" i="12"/>
  <c r="L123" i="12"/>
  <c r="B123" i="12"/>
  <c r="Z122" i="12"/>
  <c r="X122" i="12"/>
  <c r="V122" i="12"/>
  <c r="N122" i="12"/>
  <c r="L122" i="12"/>
  <c r="B122" i="12"/>
  <c r="X121" i="12"/>
  <c r="Z121" i="12" s="1"/>
  <c r="V121" i="12"/>
  <c r="L121" i="12"/>
  <c r="N121" i="12" s="1"/>
  <c r="B121" i="12"/>
  <c r="X120" i="12"/>
  <c r="Z120" i="12" s="1"/>
  <c r="V120" i="12"/>
  <c r="L120" i="12"/>
  <c r="N120" i="12" s="1"/>
  <c r="B120" i="12"/>
  <c r="Z119" i="12"/>
  <c r="X119" i="12"/>
  <c r="V119" i="12"/>
  <c r="N119" i="12"/>
  <c r="L119" i="12"/>
  <c r="B119" i="12"/>
  <c r="X118" i="12"/>
  <c r="Z118" i="12" s="1"/>
  <c r="V118" i="12"/>
  <c r="L118" i="12"/>
  <c r="N118" i="12" s="1"/>
  <c r="B118" i="12"/>
  <c r="X117" i="12"/>
  <c r="Z117" i="12" s="1"/>
  <c r="V117" i="12"/>
  <c r="L117" i="12"/>
  <c r="N117" i="12" s="1"/>
  <c r="B117" i="12"/>
  <c r="Z116" i="12"/>
  <c r="X116" i="12"/>
  <c r="V116" i="12"/>
  <c r="N116" i="12"/>
  <c r="L116" i="12"/>
  <c r="B116" i="12"/>
  <c r="X115" i="12"/>
  <c r="Z115" i="12" s="1"/>
  <c r="V115" i="12"/>
  <c r="N115" i="12"/>
  <c r="L115" i="12"/>
  <c r="B115" i="12"/>
  <c r="X114" i="12"/>
  <c r="Z114" i="12" s="1"/>
  <c r="V114" i="12"/>
  <c r="L114" i="12"/>
  <c r="N114" i="12" s="1"/>
  <c r="B114" i="12"/>
  <c r="V113" i="12"/>
  <c r="T113" i="12"/>
  <c r="P113" i="12"/>
  <c r="X113" i="12" s="1"/>
  <c r="Z113" i="12" s="1"/>
  <c r="L113" i="12"/>
  <c r="N113" i="12" s="1"/>
  <c r="H113" i="12"/>
  <c r="D113" i="12"/>
  <c r="B113" i="12"/>
  <c r="X112" i="12"/>
  <c r="Z112" i="12" s="1"/>
  <c r="N112" i="12"/>
  <c r="L112" i="12"/>
  <c r="B112" i="12"/>
  <c r="Z111" i="12"/>
  <c r="X111" i="12"/>
  <c r="V111" i="12"/>
  <c r="N111" i="12"/>
  <c r="L111" i="12"/>
  <c r="B111" i="12"/>
  <c r="X110" i="12"/>
  <c r="Z110" i="12" s="1"/>
  <c r="N110" i="12"/>
  <c r="L110" i="12"/>
  <c r="B110" i="12"/>
  <c r="Z109" i="12"/>
  <c r="X109" i="12"/>
  <c r="V109" i="12"/>
  <c r="N109" i="12"/>
  <c r="L109" i="12"/>
  <c r="B109" i="12"/>
  <c r="Z108" i="12"/>
  <c r="X108" i="12"/>
  <c r="N108" i="12"/>
  <c r="L108" i="12"/>
  <c r="B108" i="12"/>
  <c r="Z107" i="12"/>
  <c r="X107" i="12"/>
  <c r="V107" i="12"/>
  <c r="N107" i="12"/>
  <c r="L107" i="12"/>
  <c r="B107" i="12"/>
  <c r="X106" i="12"/>
  <c r="Z106" i="12" s="1"/>
  <c r="N106" i="12"/>
  <c r="L106" i="12"/>
  <c r="B106" i="12"/>
  <c r="X105" i="12"/>
  <c r="Z105" i="12" s="1"/>
  <c r="V105" i="12"/>
  <c r="N105" i="12"/>
  <c r="L105" i="12"/>
  <c r="B105" i="12"/>
  <c r="X104" i="12"/>
  <c r="Z104" i="12" s="1"/>
  <c r="N104" i="12"/>
  <c r="L104" i="12"/>
  <c r="B104" i="12"/>
  <c r="Z103" i="12"/>
  <c r="X103" i="12"/>
  <c r="V103" i="12"/>
  <c r="N103" i="12"/>
  <c r="L103" i="12"/>
  <c r="B103" i="12"/>
  <c r="X102" i="12"/>
  <c r="T102" i="12"/>
  <c r="Z102" i="12" s="1"/>
  <c r="P102" i="12"/>
  <c r="L102" i="12"/>
  <c r="N102" i="12" s="1"/>
  <c r="H102" i="12"/>
  <c r="D102" i="12"/>
  <c r="B102" i="12"/>
  <c r="V101" i="12"/>
  <c r="T101" i="12"/>
  <c r="P101" i="12"/>
  <c r="X101" i="12" s="1"/>
  <c r="Z101" i="12" s="1"/>
  <c r="H101" i="12"/>
  <c r="D101" i="12"/>
  <c r="L101" i="12" s="1"/>
  <c r="N101" i="12" s="1"/>
  <c r="Z97" i="12"/>
  <c r="X97" i="12"/>
  <c r="V97" i="12"/>
  <c r="N97" i="12"/>
  <c r="L97" i="12"/>
  <c r="B97" i="12"/>
  <c r="Z96" i="12"/>
  <c r="X96" i="12"/>
  <c r="V96" i="12"/>
  <c r="N96" i="12"/>
  <c r="L96" i="12"/>
  <c r="B96" i="12"/>
  <c r="Z95" i="12"/>
  <c r="X95" i="12"/>
  <c r="V95" i="12"/>
  <c r="N95" i="12"/>
  <c r="L95" i="12"/>
  <c r="B95" i="12"/>
  <c r="Z94" i="12"/>
  <c r="X94" i="12"/>
  <c r="V94" i="12"/>
  <c r="N94" i="12"/>
  <c r="L94" i="12"/>
  <c r="B94" i="12"/>
  <c r="Z93" i="12"/>
  <c r="X93" i="12"/>
  <c r="V93" i="12"/>
  <c r="N93" i="12"/>
  <c r="L93" i="12"/>
  <c r="B93" i="12"/>
  <c r="Z92" i="12"/>
  <c r="X92" i="12"/>
  <c r="V92" i="12"/>
  <c r="N92" i="12"/>
  <c r="L92" i="12"/>
  <c r="B92" i="12"/>
  <c r="Z91" i="12"/>
  <c r="X91" i="12"/>
  <c r="V91" i="12"/>
  <c r="N91" i="12"/>
  <c r="L91" i="12"/>
  <c r="B91" i="12"/>
  <c r="Z90" i="12"/>
  <c r="X90" i="12"/>
  <c r="V90" i="12"/>
  <c r="N90" i="12"/>
  <c r="L90" i="12"/>
  <c r="B90" i="12"/>
  <c r="Z89" i="12"/>
  <c r="X89" i="12"/>
  <c r="V89" i="12"/>
  <c r="N89" i="12"/>
  <c r="L89" i="12"/>
  <c r="B89" i="12"/>
  <c r="Z88" i="12"/>
  <c r="X88" i="12"/>
  <c r="V88" i="12"/>
  <c r="N88" i="12"/>
  <c r="L88" i="12"/>
  <c r="B88" i="12"/>
  <c r="Z87" i="12"/>
  <c r="X87" i="12"/>
  <c r="V87" i="12"/>
  <c r="N87" i="12"/>
  <c r="L87" i="12"/>
  <c r="B87" i="12"/>
  <c r="Z86" i="12"/>
  <c r="X86" i="12"/>
  <c r="V86" i="12"/>
  <c r="N86" i="12"/>
  <c r="L86" i="12"/>
  <c r="B86" i="12"/>
  <c r="Z85" i="12"/>
  <c r="X85" i="12"/>
  <c r="V85" i="12"/>
  <c r="N85" i="12"/>
  <c r="L85" i="12"/>
  <c r="B85" i="12"/>
  <c r="Z84" i="12"/>
  <c r="X84" i="12"/>
  <c r="V84" i="12"/>
  <c r="N84" i="12"/>
  <c r="L84" i="12"/>
  <c r="B84" i="12"/>
  <c r="Z83" i="12"/>
  <c r="X83" i="12"/>
  <c r="V83" i="12"/>
  <c r="N83" i="12"/>
  <c r="L83" i="12"/>
  <c r="B83" i="12"/>
  <c r="Z82" i="12"/>
  <c r="X82" i="12"/>
  <c r="V82" i="12"/>
  <c r="N82" i="12"/>
  <c r="L82" i="12"/>
  <c r="B82" i="12"/>
  <c r="Z81" i="12"/>
  <c r="X81" i="12"/>
  <c r="V81" i="12"/>
  <c r="N81" i="12"/>
  <c r="L81" i="12"/>
  <c r="B81" i="12"/>
  <c r="Z80" i="12"/>
  <c r="X80" i="12"/>
  <c r="V80" i="12"/>
  <c r="N80" i="12"/>
  <c r="L80" i="12"/>
  <c r="B80" i="12"/>
  <c r="Z79" i="12"/>
  <c r="X79" i="12"/>
  <c r="V79" i="12"/>
  <c r="N79" i="12"/>
  <c r="L79" i="12"/>
  <c r="B79" i="12"/>
  <c r="Z78" i="12"/>
  <c r="X78" i="12"/>
  <c r="V78" i="12"/>
  <c r="N78" i="12"/>
  <c r="L78" i="12"/>
  <c r="B78" i="12"/>
  <c r="Z77" i="12"/>
  <c r="X77" i="12"/>
  <c r="V77" i="12"/>
  <c r="N77" i="12"/>
  <c r="L77" i="12"/>
  <c r="B77" i="12"/>
  <c r="Z76" i="12"/>
  <c r="X76" i="12"/>
  <c r="V76" i="12"/>
  <c r="N76" i="12"/>
  <c r="L76" i="12"/>
  <c r="B76" i="12"/>
  <c r="Z75" i="12"/>
  <c r="X75" i="12"/>
  <c r="V75" i="12"/>
  <c r="N75" i="12"/>
  <c r="L75" i="12"/>
  <c r="B75" i="12"/>
  <c r="Z74" i="12"/>
  <c r="X74" i="12"/>
  <c r="V74" i="12"/>
  <c r="L74" i="12"/>
  <c r="N74" i="12" s="1"/>
  <c r="B74" i="12"/>
  <c r="Z73" i="12"/>
  <c r="V73" i="12"/>
  <c r="T73" i="12"/>
  <c r="T99" i="12" s="1"/>
  <c r="P73" i="12"/>
  <c r="X73" i="12" s="1"/>
  <c r="H73" i="12"/>
  <c r="D73" i="12"/>
  <c r="L73" i="12" s="1"/>
  <c r="N73" i="12" s="1"/>
  <c r="Z71" i="12"/>
  <c r="P71" i="12"/>
  <c r="X71" i="12" s="1"/>
  <c r="N71" i="12"/>
  <c r="D71" i="12"/>
  <c r="L71" i="12" s="1"/>
  <c r="B71" i="12"/>
  <c r="Z70" i="12"/>
  <c r="P70" i="12"/>
  <c r="X70" i="12" s="1"/>
  <c r="N70" i="12"/>
  <c r="D70" i="12"/>
  <c r="L70" i="12" s="1"/>
  <c r="B70" i="12"/>
  <c r="Z69" i="12"/>
  <c r="X69" i="12"/>
  <c r="P69" i="12"/>
  <c r="N69" i="12"/>
  <c r="L69" i="12"/>
  <c r="D69" i="12"/>
  <c r="B69" i="12"/>
  <c r="Z68" i="12"/>
  <c r="P68" i="12"/>
  <c r="X68" i="12" s="1"/>
  <c r="N68" i="12"/>
  <c r="D68" i="12"/>
  <c r="L68" i="12" s="1"/>
  <c r="B68" i="12"/>
  <c r="Z67" i="12"/>
  <c r="X67" i="12"/>
  <c r="P67" i="12"/>
  <c r="N67" i="12"/>
  <c r="D67" i="12"/>
  <c r="L67" i="12" s="1"/>
  <c r="B67" i="12"/>
  <c r="Z66" i="12"/>
  <c r="X66" i="12"/>
  <c r="P66" i="12"/>
  <c r="N66" i="12"/>
  <c r="L66" i="12"/>
  <c r="D66" i="12"/>
  <c r="B66" i="12"/>
  <c r="Z65" i="12"/>
  <c r="P65" i="12"/>
  <c r="X65" i="12" s="1"/>
  <c r="N65" i="12"/>
  <c r="D65" i="12"/>
  <c r="L65" i="12" s="1"/>
  <c r="B65" i="12"/>
  <c r="Z64" i="12"/>
  <c r="X64" i="12"/>
  <c r="P64" i="12"/>
  <c r="N64" i="12"/>
  <c r="D64" i="12"/>
  <c r="L64" i="12" s="1"/>
  <c r="B64" i="12"/>
  <c r="Z63" i="12"/>
  <c r="X63" i="12"/>
  <c r="P63" i="12"/>
  <c r="N63" i="12"/>
  <c r="L63" i="12"/>
  <c r="D63" i="12"/>
  <c r="B63" i="12"/>
  <c r="Z62" i="12"/>
  <c r="P62" i="12"/>
  <c r="X62" i="12" s="1"/>
  <c r="N62" i="12"/>
  <c r="D62" i="12"/>
  <c r="L62" i="12" s="1"/>
  <c r="B62" i="12"/>
  <c r="Z61" i="12"/>
  <c r="P61" i="12"/>
  <c r="X61" i="12" s="1"/>
  <c r="N61" i="12"/>
  <c r="L61" i="12"/>
  <c r="D61" i="12"/>
  <c r="B61" i="12"/>
  <c r="Z60" i="12"/>
  <c r="X60" i="12"/>
  <c r="P60" i="12"/>
  <c r="N60" i="12"/>
  <c r="L60" i="12"/>
  <c r="D60" i="12"/>
  <c r="B60" i="12"/>
  <c r="Z59" i="12"/>
  <c r="P59" i="12"/>
  <c r="X59" i="12" s="1"/>
  <c r="N59" i="12"/>
  <c r="D59" i="12"/>
  <c r="L59" i="12" s="1"/>
  <c r="B59" i="12"/>
  <c r="Z58" i="12"/>
  <c r="P58" i="12"/>
  <c r="X58" i="12" s="1"/>
  <c r="N58" i="12"/>
  <c r="D58" i="12"/>
  <c r="L58" i="12" s="1"/>
  <c r="B58" i="12"/>
  <c r="Z57" i="12"/>
  <c r="X57" i="12"/>
  <c r="P57" i="12"/>
  <c r="N57" i="12"/>
  <c r="L57" i="12"/>
  <c r="D57" i="12"/>
  <c r="B57" i="12"/>
  <c r="Z56" i="12"/>
  <c r="P56" i="12"/>
  <c r="X56" i="12" s="1"/>
  <c r="N56" i="12"/>
  <c r="D56" i="12"/>
  <c r="L56" i="12" s="1"/>
  <c r="B56" i="12"/>
  <c r="Z55" i="12"/>
  <c r="X55" i="12"/>
  <c r="P55" i="12"/>
  <c r="N55" i="12"/>
  <c r="D55" i="12"/>
  <c r="L55" i="12" s="1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D53" i="12"/>
  <c r="L53" i="12" s="1"/>
  <c r="B53" i="12"/>
  <c r="Z52" i="12"/>
  <c r="X52" i="12"/>
  <c r="P52" i="12"/>
  <c r="N52" i="12"/>
  <c r="D52" i="12"/>
  <c r="L52" i="12" s="1"/>
  <c r="B52" i="12"/>
  <c r="Z51" i="12"/>
  <c r="X51" i="12"/>
  <c r="P51" i="12"/>
  <c r="N51" i="12"/>
  <c r="L51" i="12"/>
  <c r="D51" i="12"/>
  <c r="B51" i="12"/>
  <c r="Z50" i="12"/>
  <c r="P50" i="12"/>
  <c r="X50" i="12" s="1"/>
  <c r="N50" i="12"/>
  <c r="D50" i="12"/>
  <c r="L50" i="12" s="1"/>
  <c r="B50" i="12"/>
  <c r="Z49" i="12"/>
  <c r="P49" i="12"/>
  <c r="X49" i="12" s="1"/>
  <c r="N49" i="12"/>
  <c r="L49" i="12"/>
  <c r="D49" i="12"/>
  <c r="B49" i="12"/>
  <c r="Z48" i="12"/>
  <c r="X48" i="12"/>
  <c r="P48" i="12"/>
  <c r="N48" i="12"/>
  <c r="L48" i="12"/>
  <c r="D48" i="12"/>
  <c r="B48" i="12"/>
  <c r="Z47" i="12"/>
  <c r="P47" i="12"/>
  <c r="X47" i="12" s="1"/>
  <c r="N47" i="12"/>
  <c r="D47" i="12"/>
  <c r="L47" i="12" s="1"/>
  <c r="B47" i="12"/>
  <c r="Z46" i="12"/>
  <c r="P46" i="12"/>
  <c r="X46" i="12" s="1"/>
  <c r="N46" i="12"/>
  <c r="L46" i="12"/>
  <c r="D46" i="12"/>
  <c r="B46" i="12"/>
  <c r="Z45" i="12"/>
  <c r="X45" i="12"/>
  <c r="P45" i="12"/>
  <c r="N45" i="12"/>
  <c r="L45" i="12"/>
  <c r="D45" i="12"/>
  <c r="B45" i="12"/>
  <c r="Z44" i="12"/>
  <c r="P44" i="12"/>
  <c r="X44" i="12" s="1"/>
  <c r="N44" i="12"/>
  <c r="D44" i="12"/>
  <c r="L44" i="12" s="1"/>
  <c r="B44" i="12"/>
  <c r="Z43" i="12"/>
  <c r="P43" i="12"/>
  <c r="X43" i="12" s="1"/>
  <c r="N43" i="12"/>
  <c r="D43" i="12"/>
  <c r="L43" i="12" s="1"/>
  <c r="B43" i="12"/>
  <c r="Z42" i="12"/>
  <c r="X42" i="12"/>
  <c r="P42" i="12"/>
  <c r="N42" i="12"/>
  <c r="L42" i="12"/>
  <c r="D42" i="12"/>
  <c r="B42" i="12"/>
  <c r="Z41" i="12"/>
  <c r="P41" i="12"/>
  <c r="X41" i="12" s="1"/>
  <c r="N41" i="12"/>
  <c r="D41" i="12"/>
  <c r="L41" i="12" s="1"/>
  <c r="B41" i="12"/>
  <c r="Z40" i="12"/>
  <c r="P40" i="12"/>
  <c r="X40" i="12" s="1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D38" i="12"/>
  <c r="L38" i="12" s="1"/>
  <c r="B38" i="12"/>
  <c r="Z37" i="12"/>
  <c r="P37" i="12"/>
  <c r="X37" i="12" s="1"/>
  <c r="N37" i="12"/>
  <c r="L37" i="12"/>
  <c r="D37" i="12"/>
  <c r="B37" i="12"/>
  <c r="Z36" i="12"/>
  <c r="X36" i="12"/>
  <c r="P36" i="12"/>
  <c r="N36" i="12"/>
  <c r="L36" i="12"/>
  <c r="D36" i="12"/>
  <c r="B36" i="12"/>
  <c r="Z35" i="12"/>
  <c r="P35" i="12"/>
  <c r="X35" i="12" s="1"/>
  <c r="N35" i="12"/>
  <c r="D35" i="12"/>
  <c r="L35" i="12" s="1"/>
  <c r="B35" i="12"/>
  <c r="Z34" i="12"/>
  <c r="P34" i="12"/>
  <c r="X34" i="12" s="1"/>
  <c r="N34" i="12"/>
  <c r="D34" i="12"/>
  <c r="L34" i="12" s="1"/>
  <c r="B34" i="12"/>
  <c r="X33" i="12"/>
  <c r="Z33" i="12" s="1"/>
  <c r="P33" i="12"/>
  <c r="N33" i="12"/>
  <c r="L33" i="12"/>
  <c r="D33" i="12"/>
  <c r="B33" i="12"/>
  <c r="Z32" i="12"/>
  <c r="P32" i="12"/>
  <c r="X32" i="12" s="1"/>
  <c r="N32" i="12"/>
  <c r="D32" i="12"/>
  <c r="L32" i="12" s="1"/>
  <c r="B32" i="12"/>
  <c r="Z31" i="12"/>
  <c r="X31" i="12"/>
  <c r="P31" i="12"/>
  <c r="N31" i="12"/>
  <c r="D31" i="12"/>
  <c r="L31" i="12" s="1"/>
  <c r="B31" i="12"/>
  <c r="Z30" i="12"/>
  <c r="X30" i="12"/>
  <c r="P30" i="12"/>
  <c r="N30" i="12"/>
  <c r="L30" i="12"/>
  <c r="D30" i="12"/>
  <c r="B30" i="12"/>
  <c r="Z29" i="12"/>
  <c r="P29" i="12"/>
  <c r="X29" i="12" s="1"/>
  <c r="N29" i="12"/>
  <c r="D29" i="12"/>
  <c r="L29" i="12" s="1"/>
  <c r="B29" i="12"/>
  <c r="Z28" i="12"/>
  <c r="X28" i="12"/>
  <c r="P28" i="12"/>
  <c r="N28" i="12"/>
  <c r="L28" i="12"/>
  <c r="D28" i="12"/>
  <c r="B28" i="12"/>
  <c r="Z27" i="12"/>
  <c r="X27" i="12"/>
  <c r="P27" i="12"/>
  <c r="N27" i="12"/>
  <c r="L27" i="12"/>
  <c r="D27" i="12"/>
  <c r="B27" i="12"/>
  <c r="Z26" i="12"/>
  <c r="P26" i="12"/>
  <c r="X26" i="12" s="1"/>
  <c r="N26" i="12"/>
  <c r="D26" i="12"/>
  <c r="L26" i="12" s="1"/>
  <c r="B26" i="12"/>
  <c r="Z25" i="12"/>
  <c r="P25" i="12"/>
  <c r="X25" i="12" s="1"/>
  <c r="N25" i="12"/>
  <c r="D25" i="12"/>
  <c r="L25" i="12" s="1"/>
  <c r="B25" i="12"/>
  <c r="Z24" i="12"/>
  <c r="X24" i="12"/>
  <c r="P24" i="12"/>
  <c r="N24" i="12"/>
  <c r="L24" i="12"/>
  <c r="D24" i="12"/>
  <c r="B24" i="12"/>
  <c r="Z23" i="12"/>
  <c r="P23" i="12"/>
  <c r="X23" i="12" s="1"/>
  <c r="N23" i="12"/>
  <c r="D23" i="12"/>
  <c r="L23" i="12" s="1"/>
  <c r="B23" i="12"/>
  <c r="Z22" i="12"/>
  <c r="P22" i="12"/>
  <c r="X22" i="12" s="1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P20" i="12"/>
  <c r="X20" i="12" s="1"/>
  <c r="N20" i="12"/>
  <c r="D20" i="12"/>
  <c r="L20" i="12" s="1"/>
  <c r="B20" i="12"/>
  <c r="Z19" i="12"/>
  <c r="X19" i="12"/>
  <c r="P19" i="12"/>
  <c r="N19" i="12"/>
  <c r="D19" i="12"/>
  <c r="L19" i="12" s="1"/>
  <c r="B19" i="12"/>
  <c r="Z18" i="12"/>
  <c r="X18" i="12"/>
  <c r="P18" i="12"/>
  <c r="N18" i="12"/>
  <c r="L18" i="12"/>
  <c r="D18" i="12"/>
  <c r="B18" i="12"/>
  <c r="Z17" i="12"/>
  <c r="P17" i="12"/>
  <c r="X17" i="12" s="1"/>
  <c r="N17" i="12"/>
  <c r="D17" i="12"/>
  <c r="L17" i="12" s="1"/>
  <c r="B17" i="12"/>
  <c r="Z16" i="12"/>
  <c r="P16" i="12"/>
  <c r="X16" i="12" s="1"/>
  <c r="N16" i="12"/>
  <c r="L16" i="12"/>
  <c r="D16" i="12"/>
  <c r="B16" i="12"/>
  <c r="Z15" i="12"/>
  <c r="X15" i="12"/>
  <c r="P15" i="12"/>
  <c r="N15" i="12"/>
  <c r="L15" i="12"/>
  <c r="D15" i="12"/>
  <c r="B15" i="12"/>
  <c r="Z14" i="12"/>
  <c r="P14" i="12"/>
  <c r="X14" i="12" s="1"/>
  <c r="N14" i="12"/>
  <c r="D14" i="12"/>
  <c r="L14" i="12" s="1"/>
  <c r="B14" i="12"/>
  <c r="X13" i="12"/>
  <c r="Z13" i="12" s="1"/>
  <c r="P13" i="12"/>
  <c r="D13" i="12"/>
  <c r="L13" i="12" s="1"/>
  <c r="N13" i="12" s="1"/>
  <c r="B13" i="12"/>
  <c r="T12" i="12"/>
  <c r="V203" i="12" s="1"/>
  <c r="H12" i="12"/>
  <c r="J79" i="12" s="1"/>
  <c r="D12" i="12"/>
  <c r="D4" i="12"/>
  <c r="V109" i="9"/>
  <c r="V106" i="9"/>
  <c r="Z104" i="9"/>
  <c r="X104" i="9"/>
  <c r="V104" i="9"/>
  <c r="N104" i="9"/>
  <c r="L104" i="9"/>
  <c r="V102" i="9"/>
  <c r="Z100" i="9"/>
  <c r="V100" i="9"/>
  <c r="P100" i="9"/>
  <c r="X100" i="9" s="1"/>
  <c r="N100" i="9"/>
  <c r="L100" i="9"/>
  <c r="D100" i="9"/>
  <c r="B100" i="9"/>
  <c r="Z99" i="9"/>
  <c r="P99" i="9"/>
  <c r="X99" i="9" s="1"/>
  <c r="N99" i="9"/>
  <c r="L99" i="9"/>
  <c r="D99" i="9"/>
  <c r="B99" i="9"/>
  <c r="Z98" i="9"/>
  <c r="V98" i="9"/>
  <c r="P98" i="9"/>
  <c r="X98" i="9" s="1"/>
  <c r="N98" i="9"/>
  <c r="L98" i="9"/>
  <c r="D98" i="9"/>
  <c r="B98" i="9"/>
  <c r="V97" i="9"/>
  <c r="T97" i="9"/>
  <c r="Z97" i="9" s="1"/>
  <c r="N97" i="9"/>
  <c r="H97" i="9"/>
  <c r="D97" i="9"/>
  <c r="L97" i="9" s="1"/>
  <c r="Z95" i="9"/>
  <c r="X95" i="9"/>
  <c r="N95" i="9"/>
  <c r="L95" i="9"/>
  <c r="B95" i="9"/>
  <c r="Z94" i="9"/>
  <c r="X94" i="9"/>
  <c r="V94" i="9"/>
  <c r="N94" i="9"/>
  <c r="L94" i="9"/>
  <c r="B94" i="9"/>
  <c r="X93" i="9"/>
  <c r="Z93" i="9" s="1"/>
  <c r="V93" i="9"/>
  <c r="T93" i="9"/>
  <c r="P93" i="9"/>
  <c r="H93" i="9"/>
  <c r="D93" i="9"/>
  <c r="B93" i="9"/>
  <c r="Z92" i="9"/>
  <c r="X92" i="9"/>
  <c r="V92" i="9"/>
  <c r="N92" i="9"/>
  <c r="L92" i="9"/>
  <c r="B92" i="9"/>
  <c r="X91" i="9"/>
  <c r="V91" i="9"/>
  <c r="T91" i="9"/>
  <c r="P91" i="9"/>
  <c r="H91" i="9"/>
  <c r="D91" i="9"/>
  <c r="L91" i="9" s="1"/>
  <c r="B91" i="9"/>
  <c r="X90" i="9"/>
  <c r="Z90" i="9" s="1"/>
  <c r="V90" i="9"/>
  <c r="N90" i="9"/>
  <c r="L90" i="9"/>
  <c r="B90" i="9"/>
  <c r="X89" i="9"/>
  <c r="Z89" i="9" s="1"/>
  <c r="L89" i="9"/>
  <c r="N89" i="9" s="1"/>
  <c r="B89" i="9"/>
  <c r="V88" i="9"/>
  <c r="T88" i="9"/>
  <c r="P88" i="9"/>
  <c r="H88" i="9"/>
  <c r="D88" i="9"/>
  <c r="B88" i="9"/>
  <c r="X87" i="9"/>
  <c r="Z87" i="9" s="1"/>
  <c r="V87" i="9"/>
  <c r="N87" i="9"/>
  <c r="L87" i="9"/>
  <c r="B87" i="9"/>
  <c r="Z86" i="9"/>
  <c r="X86" i="9"/>
  <c r="V86" i="9"/>
  <c r="L86" i="9"/>
  <c r="N86" i="9" s="1"/>
  <c r="B86" i="9"/>
  <c r="X85" i="9"/>
  <c r="Z85" i="9" s="1"/>
  <c r="V85" i="9"/>
  <c r="L85" i="9"/>
  <c r="N85" i="9" s="1"/>
  <c r="B85" i="9"/>
  <c r="Z84" i="9"/>
  <c r="X84" i="9"/>
  <c r="L84" i="9"/>
  <c r="N84" i="9" s="1"/>
  <c r="B84" i="9"/>
  <c r="X83" i="9"/>
  <c r="Z83" i="9" s="1"/>
  <c r="V83" i="9"/>
  <c r="L83" i="9"/>
  <c r="N83" i="9" s="1"/>
  <c r="B83" i="9"/>
  <c r="V82" i="9"/>
  <c r="T82" i="9"/>
  <c r="P82" i="9"/>
  <c r="H82" i="9"/>
  <c r="D82" i="9"/>
  <c r="L82" i="9" s="1"/>
  <c r="N82" i="9" s="1"/>
  <c r="B82" i="9"/>
  <c r="X81" i="9"/>
  <c r="Z81" i="9" s="1"/>
  <c r="V81" i="9"/>
  <c r="L81" i="9"/>
  <c r="N81" i="9" s="1"/>
  <c r="B81" i="9"/>
  <c r="Z80" i="9"/>
  <c r="X80" i="9"/>
  <c r="V80" i="9"/>
  <c r="N80" i="9"/>
  <c r="L80" i="9"/>
  <c r="B80" i="9"/>
  <c r="X79" i="9"/>
  <c r="V79" i="9"/>
  <c r="T79" i="9"/>
  <c r="P79" i="9"/>
  <c r="H79" i="9"/>
  <c r="D79" i="9"/>
  <c r="L79" i="9" s="1"/>
  <c r="B79" i="9"/>
  <c r="X78" i="9"/>
  <c r="Z78" i="9" s="1"/>
  <c r="V78" i="9"/>
  <c r="N78" i="9"/>
  <c r="L78" i="9"/>
  <c r="B78" i="9"/>
  <c r="X77" i="9"/>
  <c r="Z77" i="9" s="1"/>
  <c r="L77" i="9"/>
  <c r="N77" i="9" s="1"/>
  <c r="B77" i="9"/>
  <c r="V76" i="9"/>
  <c r="T76" i="9"/>
  <c r="P76" i="9"/>
  <c r="H76" i="9"/>
  <c r="D76" i="9"/>
  <c r="B76" i="9"/>
  <c r="Z75" i="9"/>
  <c r="X75" i="9"/>
  <c r="V75" i="9"/>
  <c r="N75" i="9"/>
  <c r="L75" i="9"/>
  <c r="B75" i="9"/>
  <c r="Z74" i="9"/>
  <c r="X74" i="9"/>
  <c r="V74" i="9"/>
  <c r="L74" i="9"/>
  <c r="N74" i="9" s="1"/>
  <c r="B74" i="9"/>
  <c r="X73" i="9"/>
  <c r="Z73" i="9" s="1"/>
  <c r="V73" i="9"/>
  <c r="L73" i="9"/>
  <c r="N73" i="9" s="1"/>
  <c r="B73" i="9"/>
  <c r="Z72" i="9"/>
  <c r="X72" i="9"/>
  <c r="L72" i="9"/>
  <c r="N72" i="9" s="1"/>
  <c r="B72" i="9"/>
  <c r="V71" i="9"/>
  <c r="T71" i="9"/>
  <c r="P71" i="9"/>
  <c r="X71" i="9" s="1"/>
  <c r="H71" i="9"/>
  <c r="D71" i="9"/>
  <c r="L71" i="9" s="1"/>
  <c r="N71" i="9" s="1"/>
  <c r="B71" i="9"/>
  <c r="Z70" i="9"/>
  <c r="X70" i="9"/>
  <c r="V70" i="9"/>
  <c r="N70" i="9"/>
  <c r="L70" i="9"/>
  <c r="B70" i="9"/>
  <c r="X69" i="9"/>
  <c r="Z69" i="9" s="1"/>
  <c r="V69" i="9"/>
  <c r="L69" i="9"/>
  <c r="N69" i="9" s="1"/>
  <c r="B69" i="9"/>
  <c r="Z68" i="9"/>
  <c r="X68" i="9"/>
  <c r="V68" i="9"/>
  <c r="N68" i="9"/>
  <c r="L68" i="9"/>
  <c r="B68" i="9"/>
  <c r="X67" i="9"/>
  <c r="Z67" i="9" s="1"/>
  <c r="V67" i="9"/>
  <c r="N67" i="9"/>
  <c r="L67" i="9"/>
  <c r="B67" i="9"/>
  <c r="V66" i="9"/>
  <c r="T66" i="9"/>
  <c r="P66" i="9"/>
  <c r="X66" i="9" s="1"/>
  <c r="Z66" i="9" s="1"/>
  <c r="H66" i="9"/>
  <c r="D66" i="9"/>
  <c r="L66" i="9" s="1"/>
  <c r="N66" i="9" s="1"/>
  <c r="B66" i="9"/>
  <c r="X65" i="9"/>
  <c r="Z65" i="9" s="1"/>
  <c r="L65" i="9"/>
  <c r="N65" i="9" s="1"/>
  <c r="B65" i="9"/>
  <c r="Z64" i="9"/>
  <c r="X64" i="9"/>
  <c r="V64" i="9"/>
  <c r="R64" i="9"/>
  <c r="N64" i="9"/>
  <c r="L64" i="9"/>
  <c r="B64" i="9"/>
  <c r="T63" i="9"/>
  <c r="P63" i="9"/>
  <c r="X63" i="9" s="1"/>
  <c r="Z63" i="9" s="1"/>
  <c r="L63" i="9"/>
  <c r="N63" i="9" s="1"/>
  <c r="H63" i="9"/>
  <c r="D63" i="9"/>
  <c r="B63" i="9"/>
  <c r="Z62" i="9"/>
  <c r="X62" i="9"/>
  <c r="N62" i="9"/>
  <c r="L62" i="9"/>
  <c r="B62" i="9"/>
  <c r="V61" i="9"/>
  <c r="T61" i="9"/>
  <c r="P61" i="9"/>
  <c r="X61" i="9" s="1"/>
  <c r="H61" i="9"/>
  <c r="D61" i="9"/>
  <c r="L61" i="9" s="1"/>
  <c r="N61" i="9" s="1"/>
  <c r="B61" i="9"/>
  <c r="Z60" i="9"/>
  <c r="X60" i="9"/>
  <c r="V60" i="9"/>
  <c r="L60" i="9"/>
  <c r="N60" i="9" s="1"/>
  <c r="B60" i="9"/>
  <c r="Z59" i="9"/>
  <c r="X59" i="9"/>
  <c r="V59" i="9"/>
  <c r="N59" i="9"/>
  <c r="L59" i="9"/>
  <c r="B59" i="9"/>
  <c r="X58" i="9"/>
  <c r="Z58" i="9" s="1"/>
  <c r="V58" i="9"/>
  <c r="T58" i="9"/>
  <c r="P58" i="9"/>
  <c r="L58" i="9"/>
  <c r="N58" i="9" s="1"/>
  <c r="H58" i="9"/>
  <c r="D58" i="9"/>
  <c r="B58" i="9"/>
  <c r="X57" i="9"/>
  <c r="Z57" i="9" s="1"/>
  <c r="N57" i="9"/>
  <c r="L57" i="9"/>
  <c r="B57" i="9"/>
  <c r="X56" i="9"/>
  <c r="V56" i="9"/>
  <c r="T56" i="9"/>
  <c r="Z56" i="9" s="1"/>
  <c r="P56" i="9"/>
  <c r="L56" i="9"/>
  <c r="H56" i="9"/>
  <c r="N56" i="9" s="1"/>
  <c r="D56" i="9"/>
  <c r="B56" i="9"/>
  <c r="Z55" i="9"/>
  <c r="X55" i="9"/>
  <c r="V55" i="9"/>
  <c r="N55" i="9"/>
  <c r="L55" i="9"/>
  <c r="B55" i="9"/>
  <c r="Z54" i="9"/>
  <c r="V54" i="9"/>
  <c r="T54" i="9"/>
  <c r="P54" i="9"/>
  <c r="X54" i="9" s="1"/>
  <c r="H54" i="9"/>
  <c r="N54" i="9" s="1"/>
  <c r="D54" i="9"/>
  <c r="B54" i="9"/>
  <c r="X53" i="9"/>
  <c r="Z53" i="9" s="1"/>
  <c r="V53" i="9"/>
  <c r="R53" i="9"/>
  <c r="N53" i="9"/>
  <c r="L53" i="9"/>
  <c r="B53" i="9"/>
  <c r="X52" i="9"/>
  <c r="Z52" i="9" s="1"/>
  <c r="T52" i="9"/>
  <c r="P52" i="9"/>
  <c r="N52" i="9"/>
  <c r="L52" i="9"/>
  <c r="H52" i="9"/>
  <c r="D52" i="9"/>
  <c r="B52" i="9"/>
  <c r="Z51" i="9"/>
  <c r="X51" i="9"/>
  <c r="N51" i="9"/>
  <c r="L51" i="9"/>
  <c r="F51" i="9"/>
  <c r="B51" i="9"/>
  <c r="Z50" i="9"/>
  <c r="X50" i="9"/>
  <c r="V50" i="9"/>
  <c r="N50" i="9"/>
  <c r="L50" i="9"/>
  <c r="B50" i="9"/>
  <c r="X49" i="9"/>
  <c r="Z49" i="9" s="1"/>
  <c r="T49" i="9"/>
  <c r="P49" i="9"/>
  <c r="H49" i="9"/>
  <c r="D49" i="9"/>
  <c r="B49" i="9"/>
  <c r="Z48" i="9"/>
  <c r="X48" i="9"/>
  <c r="V48" i="9"/>
  <c r="N48" i="9"/>
  <c r="L48" i="9"/>
  <c r="B48" i="9"/>
  <c r="V47" i="9"/>
  <c r="T47" i="9"/>
  <c r="P47" i="9"/>
  <c r="X47" i="9" s="1"/>
  <c r="Z47" i="9" s="1"/>
  <c r="L47" i="9"/>
  <c r="N47" i="9" s="1"/>
  <c r="H47" i="9"/>
  <c r="D47" i="9"/>
  <c r="B47" i="9"/>
  <c r="X46" i="9"/>
  <c r="Z46" i="9" s="1"/>
  <c r="L46" i="9"/>
  <c r="N46" i="9" s="1"/>
  <c r="B46" i="9"/>
  <c r="V45" i="9"/>
  <c r="T45" i="9"/>
  <c r="P45" i="9"/>
  <c r="X45" i="9" s="1"/>
  <c r="L45" i="9"/>
  <c r="H45" i="9"/>
  <c r="D45" i="9"/>
  <c r="B45" i="9"/>
  <c r="Z44" i="9"/>
  <c r="X44" i="9"/>
  <c r="V44" i="9"/>
  <c r="N44" i="9"/>
  <c r="L44" i="9"/>
  <c r="B44" i="9"/>
  <c r="T43" i="9"/>
  <c r="R43" i="9"/>
  <c r="P43" i="9"/>
  <c r="H43" i="9"/>
  <c r="F43" i="9"/>
  <c r="D43" i="9"/>
  <c r="L43" i="9" s="1"/>
  <c r="B43" i="9"/>
  <c r="Z42" i="9"/>
  <c r="X42" i="9"/>
  <c r="V42" i="9"/>
  <c r="N42" i="9"/>
  <c r="L42" i="9"/>
  <c r="B42" i="9"/>
  <c r="Z41" i="9"/>
  <c r="X41" i="9"/>
  <c r="V41" i="9"/>
  <c r="N41" i="9"/>
  <c r="L41" i="9"/>
  <c r="B41" i="9"/>
  <c r="Z40" i="9"/>
  <c r="X40" i="9"/>
  <c r="V40" i="9"/>
  <c r="L40" i="9"/>
  <c r="N40" i="9" s="1"/>
  <c r="B40" i="9"/>
  <c r="Z39" i="9"/>
  <c r="X39" i="9"/>
  <c r="V39" i="9"/>
  <c r="R39" i="9"/>
  <c r="L39" i="9"/>
  <c r="N39" i="9" s="1"/>
  <c r="B39" i="9"/>
  <c r="Z38" i="9"/>
  <c r="X38" i="9"/>
  <c r="N38" i="9"/>
  <c r="L38" i="9"/>
  <c r="B38" i="9"/>
  <c r="X37" i="9"/>
  <c r="Z37" i="9" s="1"/>
  <c r="V37" i="9"/>
  <c r="L37" i="9"/>
  <c r="N37" i="9" s="1"/>
  <c r="J37" i="9"/>
  <c r="B37" i="9"/>
  <c r="Z36" i="9"/>
  <c r="X36" i="9"/>
  <c r="V36" i="9"/>
  <c r="R36" i="9"/>
  <c r="L36" i="9"/>
  <c r="N36" i="9" s="1"/>
  <c r="B36" i="9"/>
  <c r="Z35" i="9"/>
  <c r="X35" i="9"/>
  <c r="N35" i="9"/>
  <c r="L35" i="9"/>
  <c r="F35" i="9"/>
  <c r="B35" i="9"/>
  <c r="Z34" i="9"/>
  <c r="X34" i="9"/>
  <c r="V34" i="9"/>
  <c r="R34" i="9"/>
  <c r="N34" i="9"/>
  <c r="L34" i="9"/>
  <c r="B34" i="9"/>
  <c r="X33" i="9"/>
  <c r="Z33" i="9" s="1"/>
  <c r="V33" i="9"/>
  <c r="L33" i="9"/>
  <c r="N33" i="9" s="1"/>
  <c r="B33" i="9"/>
  <c r="T32" i="9"/>
  <c r="P32" i="9"/>
  <c r="N32" i="9"/>
  <c r="J32" i="9"/>
  <c r="H32" i="9"/>
  <c r="D32" i="9"/>
  <c r="L32" i="9" s="1"/>
  <c r="B32" i="9"/>
  <c r="X31" i="9"/>
  <c r="Z31" i="9" s="1"/>
  <c r="V31" i="9"/>
  <c r="N31" i="9"/>
  <c r="L31" i="9"/>
  <c r="B31" i="9"/>
  <c r="Z30" i="9"/>
  <c r="X30" i="9"/>
  <c r="V30" i="9"/>
  <c r="L30" i="9"/>
  <c r="N30" i="9" s="1"/>
  <c r="J30" i="9"/>
  <c r="F30" i="9"/>
  <c r="B30" i="9"/>
  <c r="X29" i="9"/>
  <c r="Z29" i="9" s="1"/>
  <c r="V29" i="9"/>
  <c r="L29" i="9"/>
  <c r="N29" i="9" s="1"/>
  <c r="B29" i="9"/>
  <c r="X28" i="9"/>
  <c r="Z28" i="9" s="1"/>
  <c r="V28" i="9"/>
  <c r="N28" i="9"/>
  <c r="L28" i="9"/>
  <c r="B28" i="9"/>
  <c r="Z27" i="9"/>
  <c r="X27" i="9"/>
  <c r="N27" i="9"/>
  <c r="L27" i="9"/>
  <c r="F27" i="9"/>
  <c r="B27" i="9"/>
  <c r="X26" i="9"/>
  <c r="Z26" i="9" s="1"/>
  <c r="V26" i="9"/>
  <c r="L26" i="9"/>
  <c r="N26" i="9" s="1"/>
  <c r="J26" i="9"/>
  <c r="B26" i="9"/>
  <c r="X25" i="9"/>
  <c r="Z25" i="9" s="1"/>
  <c r="V25" i="9"/>
  <c r="R25" i="9"/>
  <c r="N25" i="9"/>
  <c r="L25" i="9"/>
  <c r="B25" i="9"/>
  <c r="X24" i="9"/>
  <c r="Z24" i="9" s="1"/>
  <c r="V24" i="9"/>
  <c r="L24" i="9"/>
  <c r="N24" i="9" s="1"/>
  <c r="B24" i="9"/>
  <c r="X23" i="9"/>
  <c r="Z23" i="9" s="1"/>
  <c r="N23" i="9"/>
  <c r="L23" i="9"/>
  <c r="F23" i="9"/>
  <c r="B23" i="9"/>
  <c r="X22" i="9"/>
  <c r="Z22" i="9" s="1"/>
  <c r="V22" i="9"/>
  <c r="L22" i="9"/>
  <c r="N22" i="9" s="1"/>
  <c r="J22" i="9"/>
  <c r="B22" i="9"/>
  <c r="X21" i="9"/>
  <c r="Z21" i="9" s="1"/>
  <c r="V21" i="9"/>
  <c r="R21" i="9"/>
  <c r="N21" i="9"/>
  <c r="L21" i="9"/>
  <c r="B21" i="9"/>
  <c r="X20" i="9"/>
  <c r="Z20" i="9" s="1"/>
  <c r="V20" i="9"/>
  <c r="T20" i="9"/>
  <c r="P20" i="9"/>
  <c r="L20" i="9"/>
  <c r="N20" i="9" s="1"/>
  <c r="J20" i="9"/>
  <c r="H20" i="9"/>
  <c r="D20" i="9"/>
  <c r="B20" i="9"/>
  <c r="X19" i="9"/>
  <c r="Z19" i="9" s="1"/>
  <c r="T19" i="9"/>
  <c r="P19" i="9"/>
  <c r="H19" i="9"/>
  <c r="D19" i="9"/>
  <c r="L19" i="9" s="1"/>
  <c r="T17" i="9"/>
  <c r="Z17" i="9" s="1"/>
  <c r="R17" i="9"/>
  <c r="F17" i="9"/>
  <c r="D17" i="9"/>
  <c r="D102" i="9" s="1"/>
  <c r="T15" i="9"/>
  <c r="Z15" i="9" s="1"/>
  <c r="P15" i="9"/>
  <c r="X15" i="9" s="1"/>
  <c r="N15" i="9"/>
  <c r="H15" i="9"/>
  <c r="F15" i="9"/>
  <c r="D15" i="9"/>
  <c r="L15" i="9" s="1"/>
  <c r="Z13" i="9"/>
  <c r="X13" i="9"/>
  <c r="P13" i="9"/>
  <c r="N13" i="9"/>
  <c r="D13" i="9"/>
  <c r="D12" i="9" s="1"/>
  <c r="F87" i="9" s="1"/>
  <c r="B13" i="9"/>
  <c r="Z12" i="9"/>
  <c r="T12" i="9"/>
  <c r="V84" i="9" s="1"/>
  <c r="P12" i="9"/>
  <c r="R63" i="9" s="1"/>
  <c r="N12" i="9"/>
  <c r="H12" i="9"/>
  <c r="J83" i="9" s="1"/>
  <c r="D4" i="9"/>
  <c r="R31" i="6"/>
  <c r="F31" i="6"/>
  <c r="T29" i="6"/>
  <c r="R29" i="6"/>
  <c r="P29" i="6"/>
  <c r="L29" i="6"/>
  <c r="H29" i="6"/>
  <c r="N29" i="6" s="1"/>
  <c r="F29" i="6"/>
  <c r="D29" i="6"/>
  <c r="T28" i="6"/>
  <c r="R28" i="6"/>
  <c r="P28" i="6"/>
  <c r="L28" i="6"/>
  <c r="H28" i="6"/>
  <c r="N28" i="6" s="1"/>
  <c r="F28" i="6"/>
  <c r="D28" i="6"/>
  <c r="R26" i="6"/>
  <c r="F26" i="6"/>
  <c r="Z24" i="6"/>
  <c r="X24" i="6"/>
  <c r="R24" i="6"/>
  <c r="N24" i="6"/>
  <c r="L24" i="6"/>
  <c r="J24" i="6"/>
  <c r="R22" i="6"/>
  <c r="J22" i="6"/>
  <c r="Z20" i="6"/>
  <c r="X20" i="6"/>
  <c r="T20" i="6"/>
  <c r="R20" i="6"/>
  <c r="P20" i="6"/>
  <c r="N20" i="6"/>
  <c r="L20" i="6"/>
  <c r="J20" i="6"/>
  <c r="H20" i="6"/>
  <c r="D20" i="6"/>
  <c r="Z18" i="6"/>
  <c r="X18" i="6"/>
  <c r="T18" i="6"/>
  <c r="R18" i="6"/>
  <c r="P18" i="6"/>
  <c r="N18" i="6"/>
  <c r="L18" i="6"/>
  <c r="J18" i="6"/>
  <c r="H18" i="6"/>
  <c r="D18" i="6"/>
  <c r="R16" i="6"/>
  <c r="J16" i="6"/>
  <c r="Z14" i="6"/>
  <c r="X14" i="6"/>
  <c r="T14" i="6"/>
  <c r="R14" i="6"/>
  <c r="P14" i="6"/>
  <c r="P16" i="6" s="1"/>
  <c r="N14" i="6"/>
  <c r="L14" i="6"/>
  <c r="J14" i="6"/>
  <c r="H14" i="6"/>
  <c r="D14" i="6"/>
  <c r="T12" i="6"/>
  <c r="V31" i="6" s="1"/>
  <c r="P12" i="6"/>
  <c r="N12" i="6"/>
  <c r="H12" i="6"/>
  <c r="H16" i="6" s="1"/>
  <c r="D12" i="6"/>
  <c r="L12" i="6" s="1"/>
  <c r="D4" i="6"/>
  <c r="T248" i="3"/>
  <c r="P248" i="3"/>
  <c r="X248" i="3" s="1"/>
  <c r="H248" i="3"/>
  <c r="D248" i="3"/>
  <c r="L248" i="3" s="1"/>
  <c r="T247" i="3"/>
  <c r="P247" i="3"/>
  <c r="X247" i="3" s="1"/>
  <c r="H247" i="3"/>
  <c r="D247" i="3"/>
  <c r="L247" i="3" s="1"/>
  <c r="Z243" i="3"/>
  <c r="X243" i="3"/>
  <c r="L243" i="3"/>
  <c r="N243" i="3" s="1"/>
  <c r="Z239" i="3"/>
  <c r="X239" i="3"/>
  <c r="P239" i="3"/>
  <c r="N239" i="3"/>
  <c r="D239" i="3"/>
  <c r="L239" i="3" s="1"/>
  <c r="B239" i="3"/>
  <c r="Z238" i="3"/>
  <c r="X238" i="3"/>
  <c r="P238" i="3"/>
  <c r="N238" i="3"/>
  <c r="L238" i="3"/>
  <c r="D238" i="3"/>
  <c r="B238" i="3"/>
  <c r="Z237" i="3"/>
  <c r="X237" i="3"/>
  <c r="P237" i="3"/>
  <c r="N237" i="3"/>
  <c r="D237" i="3"/>
  <c r="L237" i="3" s="1"/>
  <c r="B237" i="3"/>
  <c r="Z236" i="3"/>
  <c r="P236" i="3"/>
  <c r="X236" i="3" s="1"/>
  <c r="N236" i="3"/>
  <c r="D236" i="3"/>
  <c r="L236" i="3" s="1"/>
  <c r="B236" i="3"/>
  <c r="P235" i="3"/>
  <c r="X235" i="3" s="1"/>
  <c r="Z235" i="3" s="1"/>
  <c r="D235" i="3"/>
  <c r="L235" i="3" s="1"/>
  <c r="N235" i="3" s="1"/>
  <c r="B235" i="3"/>
  <c r="P234" i="3"/>
  <c r="X234" i="3" s="1"/>
  <c r="Z234" i="3" s="1"/>
  <c r="L234" i="3"/>
  <c r="N234" i="3" s="1"/>
  <c r="D234" i="3"/>
  <c r="B234" i="3"/>
  <c r="Z233" i="3"/>
  <c r="X233" i="3"/>
  <c r="P233" i="3"/>
  <c r="N233" i="3"/>
  <c r="L233" i="3"/>
  <c r="D233" i="3"/>
  <c r="B233" i="3"/>
  <c r="T232" i="3"/>
  <c r="H232" i="3"/>
  <c r="X230" i="3"/>
  <c r="Z230" i="3" s="1"/>
  <c r="N230" i="3"/>
  <c r="L230" i="3"/>
  <c r="B230" i="3"/>
  <c r="T229" i="3"/>
  <c r="Z229" i="3" s="1"/>
  <c r="P229" i="3"/>
  <c r="X229" i="3" s="1"/>
  <c r="H229" i="3"/>
  <c r="D229" i="3"/>
  <c r="L229" i="3" s="1"/>
  <c r="B229" i="3"/>
  <c r="X228" i="3"/>
  <c r="Z228" i="3" s="1"/>
  <c r="N228" i="3"/>
  <c r="L228" i="3"/>
  <c r="B228" i="3"/>
  <c r="X227" i="3"/>
  <c r="Z227" i="3" s="1"/>
  <c r="N227" i="3"/>
  <c r="L227" i="3"/>
  <c r="B227" i="3"/>
  <c r="Z226" i="3"/>
  <c r="X226" i="3"/>
  <c r="N226" i="3"/>
  <c r="L226" i="3"/>
  <c r="B226" i="3"/>
  <c r="X225" i="3"/>
  <c r="T225" i="3"/>
  <c r="Z225" i="3" s="1"/>
  <c r="P225" i="3"/>
  <c r="L225" i="3"/>
  <c r="N225" i="3" s="1"/>
  <c r="H225" i="3"/>
  <c r="D225" i="3"/>
  <c r="B225" i="3"/>
  <c r="Z224" i="3"/>
  <c r="X224" i="3"/>
  <c r="L224" i="3"/>
  <c r="N224" i="3" s="1"/>
  <c r="B224" i="3"/>
  <c r="T223" i="3"/>
  <c r="P223" i="3"/>
  <c r="X223" i="3" s="1"/>
  <c r="H223" i="3"/>
  <c r="D223" i="3"/>
  <c r="L223" i="3" s="1"/>
  <c r="B223" i="3"/>
  <c r="X222" i="3"/>
  <c r="Z222" i="3" s="1"/>
  <c r="N222" i="3"/>
  <c r="L222" i="3"/>
  <c r="B222" i="3"/>
  <c r="X221" i="3"/>
  <c r="Z221" i="3" s="1"/>
  <c r="L221" i="3"/>
  <c r="N221" i="3" s="1"/>
  <c r="B221" i="3"/>
  <c r="X220" i="3"/>
  <c r="Z220" i="3" s="1"/>
  <c r="T220" i="3"/>
  <c r="P220" i="3"/>
  <c r="L220" i="3"/>
  <c r="N220" i="3" s="1"/>
  <c r="H220" i="3"/>
  <c r="D220" i="3"/>
  <c r="B220" i="3"/>
  <c r="X219" i="3"/>
  <c r="Z219" i="3" s="1"/>
  <c r="N219" i="3"/>
  <c r="L219" i="3"/>
  <c r="B219" i="3"/>
  <c r="Z218" i="3"/>
  <c r="X218" i="3"/>
  <c r="N218" i="3"/>
  <c r="L218" i="3"/>
  <c r="B218" i="3"/>
  <c r="Z217" i="3"/>
  <c r="X217" i="3"/>
  <c r="N217" i="3"/>
  <c r="L217" i="3"/>
  <c r="B217" i="3"/>
  <c r="Z216" i="3"/>
  <c r="X216" i="3"/>
  <c r="N216" i="3"/>
  <c r="L216" i="3"/>
  <c r="B216" i="3"/>
  <c r="X215" i="3"/>
  <c r="Z215" i="3" s="1"/>
  <c r="N215" i="3"/>
  <c r="L215" i="3"/>
  <c r="B215" i="3"/>
  <c r="Z214" i="3"/>
  <c r="X214" i="3"/>
  <c r="N214" i="3"/>
  <c r="L214" i="3"/>
  <c r="B214" i="3"/>
  <c r="X213" i="3"/>
  <c r="Z213" i="3" s="1"/>
  <c r="L213" i="3"/>
  <c r="N213" i="3" s="1"/>
  <c r="B213" i="3"/>
  <c r="Z212" i="3"/>
  <c r="X212" i="3"/>
  <c r="N212" i="3"/>
  <c r="L212" i="3"/>
  <c r="B212" i="3"/>
  <c r="X211" i="3"/>
  <c r="Z211" i="3" s="1"/>
  <c r="N211" i="3"/>
  <c r="L211" i="3"/>
  <c r="B211" i="3"/>
  <c r="Z210" i="3"/>
  <c r="X210" i="3"/>
  <c r="N210" i="3"/>
  <c r="L210" i="3"/>
  <c r="B210" i="3"/>
  <c r="X209" i="3"/>
  <c r="Z209" i="3" s="1"/>
  <c r="L209" i="3"/>
  <c r="N209" i="3" s="1"/>
  <c r="B209" i="3"/>
  <c r="Z208" i="3"/>
  <c r="X208" i="3"/>
  <c r="T208" i="3"/>
  <c r="P208" i="3"/>
  <c r="H208" i="3"/>
  <c r="D208" i="3"/>
  <c r="B208" i="3"/>
  <c r="Z207" i="3"/>
  <c r="X207" i="3"/>
  <c r="L207" i="3"/>
  <c r="N207" i="3" s="1"/>
  <c r="B207" i="3"/>
  <c r="Z206" i="3"/>
  <c r="X206" i="3"/>
  <c r="L206" i="3"/>
  <c r="N206" i="3" s="1"/>
  <c r="B206" i="3"/>
  <c r="T205" i="3"/>
  <c r="P205" i="3"/>
  <c r="X205" i="3" s="1"/>
  <c r="H205" i="3"/>
  <c r="D205" i="3"/>
  <c r="L205" i="3" s="1"/>
  <c r="B205" i="3"/>
  <c r="X204" i="3"/>
  <c r="Z204" i="3" s="1"/>
  <c r="N204" i="3"/>
  <c r="L204" i="3"/>
  <c r="B204" i="3"/>
  <c r="X203" i="3"/>
  <c r="Z203" i="3" s="1"/>
  <c r="L203" i="3"/>
  <c r="N203" i="3" s="1"/>
  <c r="B203" i="3"/>
  <c r="X202" i="3"/>
  <c r="Z202" i="3" s="1"/>
  <c r="N202" i="3"/>
  <c r="L202" i="3"/>
  <c r="B202" i="3"/>
  <c r="X201" i="3"/>
  <c r="Z201" i="3" s="1"/>
  <c r="L201" i="3"/>
  <c r="N201" i="3" s="1"/>
  <c r="B201" i="3"/>
  <c r="X200" i="3"/>
  <c r="Z200" i="3" s="1"/>
  <c r="N200" i="3"/>
  <c r="L200" i="3"/>
  <c r="B200" i="3"/>
  <c r="T199" i="3"/>
  <c r="P199" i="3"/>
  <c r="X199" i="3" s="1"/>
  <c r="H199" i="3"/>
  <c r="D199" i="3"/>
  <c r="L199" i="3" s="1"/>
  <c r="B199" i="3"/>
  <c r="Z198" i="3"/>
  <c r="X198" i="3"/>
  <c r="N198" i="3"/>
  <c r="L198" i="3"/>
  <c r="B198" i="3"/>
  <c r="X197" i="3"/>
  <c r="Z197" i="3" s="1"/>
  <c r="N197" i="3"/>
  <c r="L197" i="3"/>
  <c r="B197" i="3"/>
  <c r="Z196" i="3"/>
  <c r="X196" i="3"/>
  <c r="N196" i="3"/>
  <c r="L196" i="3"/>
  <c r="B196" i="3"/>
  <c r="X195" i="3"/>
  <c r="Z195" i="3" s="1"/>
  <c r="N195" i="3"/>
  <c r="L195" i="3"/>
  <c r="B195" i="3"/>
  <c r="T194" i="3"/>
  <c r="P194" i="3"/>
  <c r="N194" i="3"/>
  <c r="L194" i="3"/>
  <c r="H194" i="3"/>
  <c r="D194" i="3"/>
  <c r="B194" i="3"/>
  <c r="X193" i="3"/>
  <c r="Z193" i="3" s="1"/>
  <c r="L193" i="3"/>
  <c r="N193" i="3" s="1"/>
  <c r="B193" i="3"/>
  <c r="Z192" i="3"/>
  <c r="X192" i="3"/>
  <c r="L192" i="3"/>
  <c r="N192" i="3" s="1"/>
  <c r="B192" i="3"/>
  <c r="Z191" i="3"/>
  <c r="X191" i="3"/>
  <c r="L191" i="3"/>
  <c r="N191" i="3" s="1"/>
  <c r="B191" i="3"/>
  <c r="Z190" i="3"/>
  <c r="X190" i="3"/>
  <c r="L190" i="3"/>
  <c r="N190" i="3" s="1"/>
  <c r="B190" i="3"/>
  <c r="T189" i="3"/>
  <c r="P189" i="3"/>
  <c r="X189" i="3" s="1"/>
  <c r="H189" i="3"/>
  <c r="D189" i="3"/>
  <c r="L189" i="3" s="1"/>
  <c r="B189" i="3"/>
  <c r="X188" i="3"/>
  <c r="Z188" i="3" s="1"/>
  <c r="N188" i="3"/>
  <c r="L188" i="3"/>
  <c r="B188" i="3"/>
  <c r="T187" i="3"/>
  <c r="P187" i="3"/>
  <c r="X187" i="3" s="1"/>
  <c r="H187" i="3"/>
  <c r="D187" i="3"/>
  <c r="L187" i="3" s="1"/>
  <c r="B187" i="3"/>
  <c r="Z186" i="3"/>
  <c r="X186" i="3"/>
  <c r="N186" i="3"/>
  <c r="L186" i="3"/>
  <c r="B186" i="3"/>
  <c r="X185" i="3"/>
  <c r="T185" i="3"/>
  <c r="Z185" i="3" s="1"/>
  <c r="P185" i="3"/>
  <c r="H185" i="3"/>
  <c r="D185" i="3"/>
  <c r="B185" i="3"/>
  <c r="Z184" i="3"/>
  <c r="X184" i="3"/>
  <c r="N184" i="3"/>
  <c r="L184" i="3"/>
  <c r="B184" i="3"/>
  <c r="T183" i="3"/>
  <c r="P183" i="3"/>
  <c r="H183" i="3"/>
  <c r="N183" i="3" s="1"/>
  <c r="D183" i="3"/>
  <c r="L183" i="3" s="1"/>
  <c r="B183" i="3"/>
  <c r="Z182" i="3"/>
  <c r="X182" i="3"/>
  <c r="N182" i="3"/>
  <c r="L182" i="3"/>
  <c r="B182" i="3"/>
  <c r="T181" i="3"/>
  <c r="P181" i="3"/>
  <c r="X181" i="3" s="1"/>
  <c r="H181" i="3"/>
  <c r="D181" i="3"/>
  <c r="L181" i="3" s="1"/>
  <c r="B181" i="3"/>
  <c r="Z180" i="3"/>
  <c r="X180" i="3"/>
  <c r="N180" i="3"/>
  <c r="L180" i="3"/>
  <c r="B180" i="3"/>
  <c r="T179" i="3"/>
  <c r="X179" i="3" s="1"/>
  <c r="P179" i="3"/>
  <c r="L179" i="3"/>
  <c r="H179" i="3"/>
  <c r="N179" i="3" s="1"/>
  <c r="D179" i="3"/>
  <c r="B179" i="3"/>
  <c r="Z178" i="3"/>
  <c r="X178" i="3"/>
  <c r="N178" i="3"/>
  <c r="L178" i="3"/>
  <c r="B178" i="3"/>
  <c r="T177" i="3"/>
  <c r="P177" i="3"/>
  <c r="X177" i="3" s="1"/>
  <c r="H177" i="3"/>
  <c r="D177" i="3"/>
  <c r="L177" i="3" s="1"/>
  <c r="B177" i="3"/>
  <c r="X176" i="3"/>
  <c r="Z176" i="3" s="1"/>
  <c r="N176" i="3"/>
  <c r="L176" i="3"/>
  <c r="B176" i="3"/>
  <c r="X175" i="3"/>
  <c r="Z175" i="3" s="1"/>
  <c r="N175" i="3"/>
  <c r="L175" i="3"/>
  <c r="B175" i="3"/>
  <c r="Z174" i="3"/>
  <c r="X174" i="3"/>
  <c r="N174" i="3"/>
  <c r="L174" i="3"/>
  <c r="B174" i="3"/>
  <c r="X173" i="3"/>
  <c r="T173" i="3"/>
  <c r="P173" i="3"/>
  <c r="H173" i="3"/>
  <c r="D173" i="3"/>
  <c r="L173" i="3" s="1"/>
  <c r="B173" i="3"/>
  <c r="Z172" i="3"/>
  <c r="X172" i="3"/>
  <c r="N172" i="3"/>
  <c r="L172" i="3"/>
  <c r="B172" i="3"/>
  <c r="X171" i="3"/>
  <c r="Z171" i="3" s="1"/>
  <c r="L171" i="3"/>
  <c r="N171" i="3" s="1"/>
  <c r="B171" i="3"/>
  <c r="T170" i="3"/>
  <c r="P170" i="3"/>
  <c r="N170" i="3"/>
  <c r="L170" i="3"/>
  <c r="H170" i="3"/>
  <c r="D170" i="3"/>
  <c r="B170" i="3"/>
  <c r="X169" i="3"/>
  <c r="Z169" i="3" s="1"/>
  <c r="L169" i="3"/>
  <c r="N169" i="3" s="1"/>
  <c r="B169" i="3"/>
  <c r="Z168" i="3"/>
  <c r="T168" i="3"/>
  <c r="P168" i="3"/>
  <c r="X168" i="3" s="1"/>
  <c r="H168" i="3"/>
  <c r="D168" i="3"/>
  <c r="L168" i="3" s="1"/>
  <c r="N168" i="3" s="1"/>
  <c r="B168" i="3"/>
  <c r="X167" i="3"/>
  <c r="Z167" i="3" s="1"/>
  <c r="L167" i="3"/>
  <c r="N167" i="3" s="1"/>
  <c r="B167" i="3"/>
  <c r="Z166" i="3"/>
  <c r="X166" i="3"/>
  <c r="T166" i="3"/>
  <c r="P166" i="3"/>
  <c r="L166" i="3"/>
  <c r="N166" i="3" s="1"/>
  <c r="H166" i="3"/>
  <c r="D166" i="3"/>
  <c r="B166" i="3"/>
  <c r="X165" i="3"/>
  <c r="Z165" i="3" s="1"/>
  <c r="L165" i="3"/>
  <c r="N165" i="3" s="1"/>
  <c r="B165" i="3"/>
  <c r="Z164" i="3"/>
  <c r="X164" i="3"/>
  <c r="N164" i="3"/>
  <c r="L164" i="3"/>
  <c r="B164" i="3"/>
  <c r="T163" i="3"/>
  <c r="P163" i="3"/>
  <c r="H163" i="3"/>
  <c r="D163" i="3"/>
  <c r="B163" i="3"/>
  <c r="Z162" i="3"/>
  <c r="X162" i="3"/>
  <c r="N162" i="3"/>
  <c r="L162" i="3"/>
  <c r="B162" i="3"/>
  <c r="T161" i="3"/>
  <c r="P161" i="3"/>
  <c r="X161" i="3" s="1"/>
  <c r="H161" i="3"/>
  <c r="D161" i="3"/>
  <c r="L161" i="3" s="1"/>
  <c r="B161" i="3"/>
  <c r="X160" i="3"/>
  <c r="Z160" i="3" s="1"/>
  <c r="N160" i="3"/>
  <c r="L160" i="3"/>
  <c r="B160" i="3"/>
  <c r="X159" i="3"/>
  <c r="Z159" i="3" s="1"/>
  <c r="L159" i="3"/>
  <c r="N159" i="3" s="1"/>
  <c r="B159" i="3"/>
  <c r="Z158" i="3"/>
  <c r="X158" i="3"/>
  <c r="N158" i="3"/>
  <c r="L158" i="3"/>
  <c r="B158" i="3"/>
  <c r="T157" i="3"/>
  <c r="P157" i="3"/>
  <c r="X157" i="3" s="1"/>
  <c r="L157" i="3"/>
  <c r="H157" i="3"/>
  <c r="D157" i="3"/>
  <c r="B157" i="3"/>
  <c r="Z156" i="3"/>
  <c r="X156" i="3"/>
  <c r="N156" i="3"/>
  <c r="L156" i="3"/>
  <c r="B156" i="3"/>
  <c r="X155" i="3"/>
  <c r="Z155" i="3" s="1"/>
  <c r="T155" i="3"/>
  <c r="P155" i="3"/>
  <c r="H155" i="3"/>
  <c r="D155" i="3"/>
  <c r="B155" i="3"/>
  <c r="Z154" i="3"/>
  <c r="X154" i="3"/>
  <c r="N154" i="3"/>
  <c r="L154" i="3"/>
  <c r="B154" i="3"/>
  <c r="X153" i="3"/>
  <c r="Z153" i="3" s="1"/>
  <c r="L153" i="3"/>
  <c r="N153" i="3" s="1"/>
  <c r="B153" i="3"/>
  <c r="T152" i="3"/>
  <c r="P152" i="3"/>
  <c r="X152" i="3" s="1"/>
  <c r="Z152" i="3" s="1"/>
  <c r="H152" i="3"/>
  <c r="N152" i="3" s="1"/>
  <c r="D152" i="3"/>
  <c r="L152" i="3" s="1"/>
  <c r="B152" i="3"/>
  <c r="X151" i="3"/>
  <c r="Z151" i="3" s="1"/>
  <c r="L151" i="3"/>
  <c r="N151" i="3" s="1"/>
  <c r="B151" i="3"/>
  <c r="Z150" i="3"/>
  <c r="X150" i="3"/>
  <c r="T150" i="3"/>
  <c r="P150" i="3"/>
  <c r="L150" i="3"/>
  <c r="N150" i="3" s="1"/>
  <c r="H150" i="3"/>
  <c r="D150" i="3"/>
  <c r="B150" i="3"/>
  <c r="Z149" i="3"/>
  <c r="X149" i="3"/>
  <c r="N149" i="3"/>
  <c r="L149" i="3"/>
  <c r="B149" i="3"/>
  <c r="Z148" i="3"/>
  <c r="X148" i="3"/>
  <c r="N148" i="3"/>
  <c r="L148" i="3"/>
  <c r="B148" i="3"/>
  <c r="X147" i="3"/>
  <c r="Z147" i="3" s="1"/>
  <c r="N147" i="3"/>
  <c r="L147" i="3"/>
  <c r="B147" i="3"/>
  <c r="Z146" i="3"/>
  <c r="X146" i="3"/>
  <c r="N146" i="3"/>
  <c r="L146" i="3"/>
  <c r="B146" i="3"/>
  <c r="Z145" i="3"/>
  <c r="X145" i="3"/>
  <c r="N145" i="3"/>
  <c r="L145" i="3"/>
  <c r="B145" i="3"/>
  <c r="X144" i="3"/>
  <c r="Z144" i="3" s="1"/>
  <c r="N144" i="3"/>
  <c r="L144" i="3"/>
  <c r="B144" i="3"/>
  <c r="X143" i="3"/>
  <c r="Z143" i="3" s="1"/>
  <c r="L143" i="3"/>
  <c r="N143" i="3" s="1"/>
  <c r="B143" i="3"/>
  <c r="Z142" i="3"/>
  <c r="X142" i="3"/>
  <c r="N142" i="3"/>
  <c r="L142" i="3"/>
  <c r="B142" i="3"/>
  <c r="Z141" i="3"/>
  <c r="X141" i="3"/>
  <c r="L141" i="3"/>
  <c r="N141" i="3" s="1"/>
  <c r="B141" i="3"/>
  <c r="X140" i="3"/>
  <c r="Z140" i="3" s="1"/>
  <c r="N140" i="3"/>
  <c r="L140" i="3"/>
  <c r="B140" i="3"/>
  <c r="T139" i="3"/>
  <c r="Z139" i="3" s="1"/>
  <c r="P139" i="3"/>
  <c r="X139" i="3" s="1"/>
  <c r="H139" i="3"/>
  <c r="D139" i="3"/>
  <c r="L139" i="3" s="1"/>
  <c r="N139" i="3" s="1"/>
  <c r="B139" i="3"/>
  <c r="Z138" i="3"/>
  <c r="X138" i="3"/>
  <c r="N138" i="3"/>
  <c r="L138" i="3"/>
  <c r="B138" i="3"/>
  <c r="X137" i="3"/>
  <c r="Z137" i="3" s="1"/>
  <c r="L137" i="3"/>
  <c r="N137" i="3" s="1"/>
  <c r="B137" i="3"/>
  <c r="Z136" i="3"/>
  <c r="X136" i="3"/>
  <c r="N136" i="3"/>
  <c r="L136" i="3"/>
  <c r="B136" i="3"/>
  <c r="Z135" i="3"/>
  <c r="X135" i="3"/>
  <c r="N135" i="3"/>
  <c r="L135" i="3"/>
  <c r="B135" i="3"/>
  <c r="Z134" i="3"/>
  <c r="X134" i="3"/>
  <c r="N134" i="3"/>
  <c r="L134" i="3"/>
  <c r="B134" i="3"/>
  <c r="Z133" i="3"/>
  <c r="X133" i="3"/>
  <c r="L133" i="3"/>
  <c r="N133" i="3" s="1"/>
  <c r="B133" i="3"/>
  <c r="Z132" i="3"/>
  <c r="X132" i="3"/>
  <c r="N132" i="3"/>
  <c r="L132" i="3"/>
  <c r="B132" i="3"/>
  <c r="X131" i="3"/>
  <c r="Z131" i="3" s="1"/>
  <c r="L131" i="3"/>
  <c r="N131" i="3" s="1"/>
  <c r="B131" i="3"/>
  <c r="Z130" i="3"/>
  <c r="X130" i="3"/>
  <c r="L130" i="3"/>
  <c r="N130" i="3" s="1"/>
  <c r="B130" i="3"/>
  <c r="X129" i="3"/>
  <c r="Z129" i="3" s="1"/>
  <c r="L129" i="3"/>
  <c r="N129" i="3" s="1"/>
  <c r="B129" i="3"/>
  <c r="T128" i="3"/>
  <c r="P128" i="3"/>
  <c r="N128" i="3"/>
  <c r="H128" i="3"/>
  <c r="D128" i="3"/>
  <c r="L128" i="3" s="1"/>
  <c r="B128" i="3"/>
  <c r="T127" i="3"/>
  <c r="P127" i="3"/>
  <c r="X127" i="3" s="1"/>
  <c r="H127" i="3"/>
  <c r="D127" i="3"/>
  <c r="L127" i="3" s="1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B108" i="3"/>
  <c r="Z107" i="3"/>
  <c r="X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Z103" i="3"/>
  <c r="X103" i="3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Z100" i="3"/>
  <c r="X100" i="3"/>
  <c r="N100" i="3"/>
  <c r="L100" i="3"/>
  <c r="B100" i="3"/>
  <c r="Z99" i="3"/>
  <c r="X99" i="3"/>
  <c r="N99" i="3"/>
  <c r="L99" i="3"/>
  <c r="B99" i="3"/>
  <c r="Z98" i="3"/>
  <c r="X98" i="3"/>
  <c r="N98" i="3"/>
  <c r="L98" i="3"/>
  <c r="B98" i="3"/>
  <c r="Z97" i="3"/>
  <c r="X97" i="3"/>
  <c r="N97" i="3"/>
  <c r="L97" i="3"/>
  <c r="B97" i="3"/>
  <c r="Z96" i="3"/>
  <c r="X96" i="3"/>
  <c r="N96" i="3"/>
  <c r="L96" i="3"/>
  <c r="B96" i="3"/>
  <c r="Z95" i="3"/>
  <c r="X95" i="3"/>
  <c r="N95" i="3"/>
  <c r="L95" i="3"/>
  <c r="B95" i="3"/>
  <c r="Z94" i="3"/>
  <c r="X94" i="3"/>
  <c r="N94" i="3"/>
  <c r="L94" i="3"/>
  <c r="B94" i="3"/>
  <c r="X93" i="3"/>
  <c r="Z93" i="3" s="1"/>
  <c r="N93" i="3"/>
  <c r="L93" i="3"/>
  <c r="B93" i="3"/>
  <c r="X92" i="3"/>
  <c r="Z92" i="3" s="1"/>
  <c r="T92" i="3"/>
  <c r="P92" i="3"/>
  <c r="N92" i="3"/>
  <c r="L92" i="3"/>
  <c r="H92" i="3"/>
  <c r="D92" i="3"/>
  <c r="Z90" i="3"/>
  <c r="X90" i="3"/>
  <c r="P90" i="3"/>
  <c r="N90" i="3"/>
  <c r="D90" i="3"/>
  <c r="L90" i="3" s="1"/>
  <c r="B90" i="3"/>
  <c r="Z89" i="3"/>
  <c r="X89" i="3"/>
  <c r="P89" i="3"/>
  <c r="N89" i="3"/>
  <c r="D89" i="3"/>
  <c r="L89" i="3" s="1"/>
  <c r="B89" i="3"/>
  <c r="Z88" i="3"/>
  <c r="P88" i="3"/>
  <c r="X88" i="3" s="1"/>
  <c r="N88" i="3"/>
  <c r="D88" i="3"/>
  <c r="L88" i="3" s="1"/>
  <c r="B88" i="3"/>
  <c r="Z87" i="3"/>
  <c r="X87" i="3"/>
  <c r="P87" i="3"/>
  <c r="N87" i="3"/>
  <c r="D87" i="3"/>
  <c r="L87" i="3" s="1"/>
  <c r="B87" i="3"/>
  <c r="Z86" i="3"/>
  <c r="P86" i="3"/>
  <c r="X86" i="3" s="1"/>
  <c r="N86" i="3"/>
  <c r="L86" i="3"/>
  <c r="D86" i="3"/>
  <c r="B86" i="3"/>
  <c r="Z85" i="3"/>
  <c r="P85" i="3"/>
  <c r="X85" i="3" s="1"/>
  <c r="N85" i="3"/>
  <c r="D85" i="3"/>
  <c r="L85" i="3" s="1"/>
  <c r="B85" i="3"/>
  <c r="Z84" i="3"/>
  <c r="P84" i="3"/>
  <c r="X84" i="3" s="1"/>
  <c r="N84" i="3"/>
  <c r="D84" i="3"/>
  <c r="L84" i="3" s="1"/>
  <c r="B84" i="3"/>
  <c r="Z83" i="3"/>
  <c r="X83" i="3"/>
  <c r="P83" i="3"/>
  <c r="N83" i="3"/>
  <c r="L83" i="3"/>
  <c r="D83" i="3"/>
  <c r="B83" i="3"/>
  <c r="Z82" i="3"/>
  <c r="P82" i="3"/>
  <c r="X82" i="3" s="1"/>
  <c r="N82" i="3"/>
  <c r="L82" i="3"/>
  <c r="D82" i="3"/>
  <c r="B82" i="3"/>
  <c r="Z81" i="3"/>
  <c r="X81" i="3"/>
  <c r="P81" i="3"/>
  <c r="N81" i="3"/>
  <c r="D81" i="3"/>
  <c r="L81" i="3" s="1"/>
  <c r="B81" i="3"/>
  <c r="Z80" i="3"/>
  <c r="P80" i="3"/>
  <c r="X80" i="3" s="1"/>
  <c r="N80" i="3"/>
  <c r="L80" i="3"/>
  <c r="D80" i="3"/>
  <c r="B80" i="3"/>
  <c r="Z79" i="3"/>
  <c r="X79" i="3"/>
  <c r="P79" i="3"/>
  <c r="N79" i="3"/>
  <c r="D79" i="3"/>
  <c r="L79" i="3" s="1"/>
  <c r="B79" i="3"/>
  <c r="Z78" i="3"/>
  <c r="X78" i="3"/>
  <c r="P78" i="3"/>
  <c r="N78" i="3"/>
  <c r="D78" i="3"/>
  <c r="L78" i="3" s="1"/>
  <c r="B78" i="3"/>
  <c r="Z77" i="3"/>
  <c r="X77" i="3"/>
  <c r="P77" i="3"/>
  <c r="N77" i="3"/>
  <c r="D77" i="3"/>
  <c r="L77" i="3" s="1"/>
  <c r="B77" i="3"/>
  <c r="Z76" i="3"/>
  <c r="P76" i="3"/>
  <c r="X76" i="3" s="1"/>
  <c r="N76" i="3"/>
  <c r="L76" i="3"/>
  <c r="D76" i="3"/>
  <c r="B76" i="3"/>
  <c r="Z75" i="3"/>
  <c r="P75" i="3"/>
  <c r="X75" i="3" s="1"/>
  <c r="N75" i="3"/>
  <c r="D75" i="3"/>
  <c r="L75" i="3" s="1"/>
  <c r="B75" i="3"/>
  <c r="Z74" i="3"/>
  <c r="P74" i="3"/>
  <c r="X74" i="3" s="1"/>
  <c r="N74" i="3"/>
  <c r="L74" i="3"/>
  <c r="D74" i="3"/>
  <c r="B74" i="3"/>
  <c r="Z73" i="3"/>
  <c r="P73" i="3"/>
  <c r="X73" i="3" s="1"/>
  <c r="N73" i="3"/>
  <c r="D73" i="3"/>
  <c r="L73" i="3" s="1"/>
  <c r="B73" i="3"/>
  <c r="Z72" i="3"/>
  <c r="P72" i="3"/>
  <c r="X72" i="3" s="1"/>
  <c r="N72" i="3"/>
  <c r="D72" i="3"/>
  <c r="L72" i="3" s="1"/>
  <c r="B72" i="3"/>
  <c r="Z71" i="3"/>
  <c r="X71" i="3"/>
  <c r="P71" i="3"/>
  <c r="N71" i="3"/>
  <c r="D71" i="3"/>
  <c r="L71" i="3" s="1"/>
  <c r="B71" i="3"/>
  <c r="Z70" i="3"/>
  <c r="P70" i="3"/>
  <c r="X70" i="3" s="1"/>
  <c r="N70" i="3"/>
  <c r="L70" i="3"/>
  <c r="D70" i="3"/>
  <c r="B70" i="3"/>
  <c r="Z69" i="3"/>
  <c r="P69" i="3"/>
  <c r="X69" i="3" s="1"/>
  <c r="N69" i="3"/>
  <c r="L69" i="3"/>
  <c r="D69" i="3"/>
  <c r="B69" i="3"/>
  <c r="Z68" i="3"/>
  <c r="P68" i="3"/>
  <c r="X68" i="3" s="1"/>
  <c r="N68" i="3"/>
  <c r="D68" i="3"/>
  <c r="L68" i="3" s="1"/>
  <c r="B68" i="3"/>
  <c r="Z67" i="3"/>
  <c r="P67" i="3"/>
  <c r="X67" i="3" s="1"/>
  <c r="N67" i="3"/>
  <c r="D67" i="3"/>
  <c r="L67" i="3" s="1"/>
  <c r="B67" i="3"/>
  <c r="Z66" i="3"/>
  <c r="X66" i="3"/>
  <c r="P66" i="3"/>
  <c r="N66" i="3"/>
  <c r="L66" i="3"/>
  <c r="D66" i="3"/>
  <c r="B66" i="3"/>
  <c r="Z65" i="3"/>
  <c r="X65" i="3"/>
  <c r="P65" i="3"/>
  <c r="N65" i="3"/>
  <c r="D65" i="3"/>
  <c r="L65" i="3" s="1"/>
  <c r="B65" i="3"/>
  <c r="Z64" i="3"/>
  <c r="P64" i="3"/>
  <c r="X64" i="3" s="1"/>
  <c r="N64" i="3"/>
  <c r="D64" i="3"/>
  <c r="L64" i="3" s="1"/>
  <c r="B64" i="3"/>
  <c r="Z63" i="3"/>
  <c r="X63" i="3"/>
  <c r="P63" i="3"/>
  <c r="N63" i="3"/>
  <c r="L63" i="3"/>
  <c r="D63" i="3"/>
  <c r="B63" i="3"/>
  <c r="Z62" i="3"/>
  <c r="P62" i="3"/>
  <c r="X62" i="3" s="1"/>
  <c r="N62" i="3"/>
  <c r="L62" i="3"/>
  <c r="D62" i="3"/>
  <c r="B62" i="3"/>
  <c r="Z61" i="3"/>
  <c r="P61" i="3"/>
  <c r="X61" i="3" s="1"/>
  <c r="N61" i="3"/>
  <c r="L61" i="3"/>
  <c r="D61" i="3"/>
  <c r="B61" i="3"/>
  <c r="Z60" i="3"/>
  <c r="P60" i="3"/>
  <c r="X60" i="3" s="1"/>
  <c r="N60" i="3"/>
  <c r="L60" i="3"/>
  <c r="D60" i="3"/>
  <c r="B60" i="3"/>
  <c r="Z59" i="3"/>
  <c r="P59" i="3"/>
  <c r="X59" i="3" s="1"/>
  <c r="N59" i="3"/>
  <c r="D59" i="3"/>
  <c r="L59" i="3" s="1"/>
  <c r="B59" i="3"/>
  <c r="Z58" i="3"/>
  <c r="P58" i="3"/>
  <c r="X58" i="3" s="1"/>
  <c r="N58" i="3"/>
  <c r="D58" i="3"/>
  <c r="L58" i="3" s="1"/>
  <c r="B58" i="3"/>
  <c r="Z57" i="3"/>
  <c r="X57" i="3"/>
  <c r="P57" i="3"/>
  <c r="N57" i="3"/>
  <c r="D57" i="3"/>
  <c r="L57" i="3" s="1"/>
  <c r="B57" i="3"/>
  <c r="Z56" i="3"/>
  <c r="X56" i="3"/>
  <c r="P56" i="3"/>
  <c r="N56" i="3"/>
  <c r="L56" i="3"/>
  <c r="D56" i="3"/>
  <c r="B56" i="3"/>
  <c r="Z55" i="3"/>
  <c r="P55" i="3"/>
  <c r="X55" i="3" s="1"/>
  <c r="N55" i="3"/>
  <c r="D55" i="3"/>
  <c r="L55" i="3" s="1"/>
  <c r="B55" i="3"/>
  <c r="Z54" i="3"/>
  <c r="P54" i="3"/>
  <c r="X54" i="3" s="1"/>
  <c r="N54" i="3"/>
  <c r="D54" i="3"/>
  <c r="L54" i="3" s="1"/>
  <c r="B54" i="3"/>
  <c r="Z53" i="3"/>
  <c r="X53" i="3"/>
  <c r="P53" i="3"/>
  <c r="N53" i="3"/>
  <c r="D53" i="3"/>
  <c r="L53" i="3" s="1"/>
  <c r="B53" i="3"/>
  <c r="Z52" i="3"/>
  <c r="X52" i="3"/>
  <c r="P52" i="3"/>
  <c r="N52" i="3"/>
  <c r="L52" i="3"/>
  <c r="D52" i="3"/>
  <c r="B52" i="3"/>
  <c r="Z51" i="3"/>
  <c r="X51" i="3"/>
  <c r="P51" i="3"/>
  <c r="N51" i="3"/>
  <c r="D51" i="3"/>
  <c r="L51" i="3" s="1"/>
  <c r="B51" i="3"/>
  <c r="Z50" i="3"/>
  <c r="X50" i="3"/>
  <c r="P50" i="3"/>
  <c r="N50" i="3"/>
  <c r="L50" i="3"/>
  <c r="D50" i="3"/>
  <c r="B50" i="3"/>
  <c r="Z49" i="3"/>
  <c r="X49" i="3"/>
  <c r="P49" i="3"/>
  <c r="N49" i="3"/>
  <c r="L49" i="3"/>
  <c r="D49" i="3"/>
  <c r="B49" i="3"/>
  <c r="Z48" i="3"/>
  <c r="P48" i="3"/>
  <c r="X48" i="3" s="1"/>
  <c r="N48" i="3"/>
  <c r="L48" i="3"/>
  <c r="D48" i="3"/>
  <c r="B48" i="3"/>
  <c r="Z47" i="3"/>
  <c r="P47" i="3"/>
  <c r="X47" i="3" s="1"/>
  <c r="N47" i="3"/>
  <c r="L47" i="3"/>
  <c r="D47" i="3"/>
  <c r="B47" i="3"/>
  <c r="Z46" i="3"/>
  <c r="P46" i="3"/>
  <c r="X46" i="3" s="1"/>
  <c r="N46" i="3"/>
  <c r="D46" i="3"/>
  <c r="L46" i="3" s="1"/>
  <c r="B46" i="3"/>
  <c r="Z45" i="3"/>
  <c r="X45" i="3"/>
  <c r="P45" i="3"/>
  <c r="N45" i="3"/>
  <c r="L45" i="3"/>
  <c r="D45" i="3"/>
  <c r="B45" i="3"/>
  <c r="Z44" i="3"/>
  <c r="X44" i="3"/>
  <c r="P44" i="3"/>
  <c r="N44" i="3"/>
  <c r="D44" i="3"/>
  <c r="L44" i="3" s="1"/>
  <c r="B44" i="3"/>
  <c r="Z43" i="3"/>
  <c r="X43" i="3"/>
  <c r="P43" i="3"/>
  <c r="N43" i="3"/>
  <c r="D43" i="3"/>
  <c r="L43" i="3" s="1"/>
  <c r="B43" i="3"/>
  <c r="Z42" i="3"/>
  <c r="P42" i="3"/>
  <c r="X42" i="3" s="1"/>
  <c r="N42" i="3"/>
  <c r="D42" i="3"/>
  <c r="L42" i="3" s="1"/>
  <c r="B42" i="3"/>
  <c r="Z41" i="3"/>
  <c r="X41" i="3"/>
  <c r="P41" i="3"/>
  <c r="D41" i="3"/>
  <c r="L41" i="3" s="1"/>
  <c r="N41" i="3" s="1"/>
  <c r="B41" i="3"/>
  <c r="Z40" i="3"/>
  <c r="P40" i="3"/>
  <c r="X40" i="3" s="1"/>
  <c r="N40" i="3"/>
  <c r="D40" i="3"/>
  <c r="L40" i="3" s="1"/>
  <c r="B40" i="3"/>
  <c r="Z39" i="3"/>
  <c r="P39" i="3"/>
  <c r="X39" i="3" s="1"/>
  <c r="N39" i="3"/>
  <c r="D39" i="3"/>
  <c r="L39" i="3" s="1"/>
  <c r="B39" i="3"/>
  <c r="Z38" i="3"/>
  <c r="X38" i="3"/>
  <c r="P38" i="3"/>
  <c r="N38" i="3"/>
  <c r="L38" i="3"/>
  <c r="D38" i="3"/>
  <c r="B38" i="3"/>
  <c r="Z37" i="3"/>
  <c r="X37" i="3"/>
  <c r="P37" i="3"/>
  <c r="N37" i="3"/>
  <c r="D37" i="3"/>
  <c r="L37" i="3" s="1"/>
  <c r="B37" i="3"/>
  <c r="Z36" i="3"/>
  <c r="X36" i="3"/>
  <c r="P36" i="3"/>
  <c r="N36" i="3"/>
  <c r="D36" i="3"/>
  <c r="L36" i="3" s="1"/>
  <c r="B36" i="3"/>
  <c r="Z35" i="3"/>
  <c r="X35" i="3"/>
  <c r="P35" i="3"/>
  <c r="N35" i="3"/>
  <c r="L35" i="3"/>
  <c r="D35" i="3"/>
  <c r="B35" i="3"/>
  <c r="Z34" i="3"/>
  <c r="P34" i="3"/>
  <c r="X34" i="3" s="1"/>
  <c r="N34" i="3"/>
  <c r="D34" i="3"/>
  <c r="L34" i="3" s="1"/>
  <c r="B34" i="3"/>
  <c r="Z33" i="3"/>
  <c r="P33" i="3"/>
  <c r="X33" i="3" s="1"/>
  <c r="N33" i="3"/>
  <c r="D33" i="3"/>
  <c r="L33" i="3" s="1"/>
  <c r="B33" i="3"/>
  <c r="Z32" i="3"/>
  <c r="P32" i="3"/>
  <c r="X32" i="3" s="1"/>
  <c r="N32" i="3"/>
  <c r="D32" i="3"/>
  <c r="L32" i="3" s="1"/>
  <c r="B32" i="3"/>
  <c r="Z31" i="3"/>
  <c r="X31" i="3"/>
  <c r="P31" i="3"/>
  <c r="N31" i="3"/>
  <c r="L31" i="3"/>
  <c r="D31" i="3"/>
  <c r="B31" i="3"/>
  <c r="Z30" i="3"/>
  <c r="X30" i="3"/>
  <c r="P30" i="3"/>
  <c r="N30" i="3"/>
  <c r="D30" i="3"/>
  <c r="L30" i="3" s="1"/>
  <c r="B30" i="3"/>
  <c r="Z29" i="3"/>
  <c r="X29" i="3"/>
  <c r="P29" i="3"/>
  <c r="N29" i="3"/>
  <c r="D29" i="3"/>
  <c r="L29" i="3" s="1"/>
  <c r="B29" i="3"/>
  <c r="Z28" i="3"/>
  <c r="X28" i="3"/>
  <c r="P28" i="3"/>
  <c r="N28" i="3"/>
  <c r="L28" i="3"/>
  <c r="D28" i="3"/>
  <c r="B28" i="3"/>
  <c r="Z27" i="3"/>
  <c r="P27" i="3"/>
  <c r="X27" i="3" s="1"/>
  <c r="N27" i="3"/>
  <c r="L27" i="3"/>
  <c r="D27" i="3"/>
  <c r="B27" i="3"/>
  <c r="Z26" i="3"/>
  <c r="P26" i="3"/>
  <c r="X26" i="3" s="1"/>
  <c r="N26" i="3"/>
  <c r="L26" i="3"/>
  <c r="D26" i="3"/>
  <c r="B26" i="3"/>
  <c r="Z25" i="3"/>
  <c r="P25" i="3"/>
  <c r="X25" i="3" s="1"/>
  <c r="N25" i="3"/>
  <c r="L25" i="3"/>
  <c r="D25" i="3"/>
  <c r="B25" i="3"/>
  <c r="Z24" i="3"/>
  <c r="P24" i="3"/>
  <c r="X24" i="3" s="1"/>
  <c r="N24" i="3"/>
  <c r="D24" i="3"/>
  <c r="L24" i="3" s="1"/>
  <c r="B24" i="3"/>
  <c r="Z23" i="3"/>
  <c r="P23" i="3"/>
  <c r="X23" i="3" s="1"/>
  <c r="N23" i="3"/>
  <c r="D23" i="3"/>
  <c r="L23" i="3" s="1"/>
  <c r="B23" i="3"/>
  <c r="Z22" i="3"/>
  <c r="X22" i="3"/>
  <c r="P22" i="3"/>
  <c r="N22" i="3"/>
  <c r="D22" i="3"/>
  <c r="L22" i="3" s="1"/>
  <c r="B22" i="3"/>
  <c r="Z21" i="3"/>
  <c r="P21" i="3"/>
  <c r="X21" i="3" s="1"/>
  <c r="N21" i="3"/>
  <c r="D21" i="3"/>
  <c r="L21" i="3" s="1"/>
  <c r="B21" i="3"/>
  <c r="Z20" i="3"/>
  <c r="P20" i="3"/>
  <c r="X20" i="3" s="1"/>
  <c r="N20" i="3"/>
  <c r="D20" i="3"/>
  <c r="L20" i="3" s="1"/>
  <c r="B20" i="3"/>
  <c r="Z19" i="3"/>
  <c r="X19" i="3"/>
  <c r="P19" i="3"/>
  <c r="N19" i="3"/>
  <c r="L19" i="3"/>
  <c r="D19" i="3"/>
  <c r="B19" i="3"/>
  <c r="Z18" i="3"/>
  <c r="X18" i="3"/>
  <c r="P18" i="3"/>
  <c r="N18" i="3"/>
  <c r="D18" i="3"/>
  <c r="L18" i="3" s="1"/>
  <c r="B18" i="3"/>
  <c r="Z17" i="3"/>
  <c r="X17" i="3"/>
  <c r="P17" i="3"/>
  <c r="N17" i="3"/>
  <c r="D17" i="3"/>
  <c r="L17" i="3" s="1"/>
  <c r="B17" i="3"/>
  <c r="Z16" i="3"/>
  <c r="X16" i="3"/>
  <c r="P16" i="3"/>
  <c r="N16" i="3"/>
  <c r="L16" i="3"/>
  <c r="D16" i="3"/>
  <c r="B16" i="3"/>
  <c r="Z15" i="3"/>
  <c r="P15" i="3"/>
  <c r="X15" i="3" s="1"/>
  <c r="N15" i="3"/>
  <c r="L15" i="3"/>
  <c r="D15" i="3"/>
  <c r="B15" i="3"/>
  <c r="Z14" i="3"/>
  <c r="P14" i="3"/>
  <c r="X14" i="3" s="1"/>
  <c r="N14" i="3"/>
  <c r="D14" i="3"/>
  <c r="L14" i="3" s="1"/>
  <c r="B14" i="3"/>
  <c r="P13" i="3"/>
  <c r="P12" i="3" s="1"/>
  <c r="L13" i="3"/>
  <c r="N13" i="3" s="1"/>
  <c r="D13" i="3"/>
  <c r="B13" i="3"/>
  <c r="T12" i="3"/>
  <c r="V146" i="3" s="1"/>
  <c r="H12" i="3"/>
  <c r="J146" i="3" s="1"/>
  <c r="D12" i="3"/>
  <c r="F150" i="3" s="1"/>
  <c r="D4" i="3"/>
  <c r="B39" i="112"/>
  <c r="H24" i="112"/>
  <c r="H22" i="112"/>
  <c r="H13" i="112"/>
  <c r="D5" i="112"/>
  <c r="P20" i="111"/>
  <c r="P16" i="111"/>
  <c r="D12" i="111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B25" i="112"/>
  <c r="D24" i="112"/>
  <c r="D22" i="112"/>
  <c r="H20" i="112"/>
  <c r="H16" i="112"/>
  <c r="B13" i="112"/>
  <c r="B39" i="111"/>
  <c r="H24" i="111"/>
  <c r="H22" i="111"/>
  <c r="H13" i="111"/>
  <c r="D5" i="111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T24" i="112"/>
  <c r="T22" i="112"/>
  <c r="P12" i="112"/>
  <c r="B21" i="111"/>
  <c r="D20" i="111"/>
  <c r="D16" i="111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P24" i="112"/>
  <c r="P22" i="112"/>
  <c r="T20" i="112"/>
  <c r="T16" i="112"/>
  <c r="T13" i="112"/>
  <c r="T24" i="111"/>
  <c r="T22" i="111"/>
  <c r="P12" i="111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H34" i="112"/>
  <c r="H33" i="112"/>
  <c r="H29" i="112"/>
  <c r="H25" i="112"/>
  <c r="P15" i="112"/>
  <c r="D6" i="112"/>
  <c r="P21" i="111"/>
  <c r="T15" i="111"/>
  <c r="P13" i="111"/>
  <c r="H12" i="111"/>
  <c r="P34" i="110"/>
  <c r="P33" i="110"/>
  <c r="P29" i="110"/>
  <c r="P25" i="110"/>
  <c r="T21" i="110"/>
  <c r="P16" i="112"/>
  <c r="P22" i="111"/>
  <c r="D16" i="110"/>
  <c r="P13" i="110"/>
  <c r="D4" i="110"/>
  <c r="D24" i="110"/>
  <c r="P20" i="110"/>
  <c r="T20" i="111"/>
  <c r="H25" i="110"/>
  <c r="D12" i="112"/>
  <c r="D29" i="110"/>
  <c r="D25" i="110"/>
  <c r="P21" i="110"/>
  <c r="T15" i="110"/>
  <c r="D13" i="110"/>
  <c r="T16" i="111"/>
  <c r="B25" i="110"/>
  <c r="T22" i="110"/>
  <c r="H20" i="110"/>
  <c r="B13" i="110"/>
  <c r="P22" i="110"/>
  <c r="T16" i="110"/>
  <c r="P15" i="110"/>
  <c r="T13" i="111"/>
  <c r="H21" i="110"/>
  <c r="D20" i="110"/>
  <c r="T24" i="110"/>
  <c r="P16" i="110"/>
  <c r="P12" i="110"/>
  <c r="P24" i="110"/>
  <c r="D21" i="110"/>
  <c r="H15" i="110"/>
  <c r="B21" i="110"/>
  <c r="H12" i="110"/>
  <c r="P24" i="111"/>
  <c r="D33" i="110"/>
  <c r="B22" i="110"/>
  <c r="T20" i="110"/>
  <c r="T13" i="110"/>
  <c r="D6" i="110"/>
  <c r="P20" i="112"/>
  <c r="D22" i="110"/>
  <c r="H16" i="110"/>
  <c r="D12" i="110"/>
  <c r="P21" i="53"/>
  <c r="P20" i="53"/>
  <c r="P16" i="53"/>
  <c r="D12" i="53"/>
  <c r="B39" i="53"/>
  <c r="H24" i="53"/>
  <c r="H22" i="53"/>
  <c r="H13" i="53"/>
  <c r="D4" i="53"/>
  <c r="H34" i="52"/>
  <c r="H33" i="52"/>
  <c r="B25" i="53"/>
  <c r="D24" i="53"/>
  <c r="D22" i="53"/>
  <c r="H20" i="53"/>
  <c r="H16" i="53"/>
  <c r="B13" i="53"/>
  <c r="B38" i="52"/>
  <c r="D34" i="52"/>
  <c r="D33" i="52"/>
  <c r="D29" i="52"/>
  <c r="D25" i="52"/>
  <c r="H21" i="52"/>
  <c r="D13" i="52"/>
  <c r="P34" i="50"/>
  <c r="P33" i="50"/>
  <c r="P29" i="50"/>
  <c r="P25" i="50"/>
  <c r="T21" i="50"/>
  <c r="B22" i="53"/>
  <c r="D21" i="53"/>
  <c r="B21" i="53"/>
  <c r="D20" i="53"/>
  <c r="D16" i="53"/>
  <c r="T24" i="53"/>
  <c r="T22" i="53"/>
  <c r="P12" i="53"/>
  <c r="T34" i="52"/>
  <c r="T33" i="52"/>
  <c r="P24" i="53"/>
  <c r="P22" i="53"/>
  <c r="T20" i="53"/>
  <c r="T16" i="53"/>
  <c r="T13" i="53"/>
  <c r="P34" i="52"/>
  <c r="P33" i="52"/>
  <c r="P29" i="52"/>
  <c r="P25" i="52"/>
  <c r="T21" i="52"/>
  <c r="B38" i="50"/>
  <c r="D34" i="50"/>
  <c r="D33" i="50"/>
  <c r="D29" i="50"/>
  <c r="D25" i="50"/>
  <c r="H21" i="50"/>
  <c r="D13" i="50"/>
  <c r="B39" i="49"/>
  <c r="H33" i="53"/>
  <c r="H29" i="52"/>
  <c r="T25" i="52"/>
  <c r="D22" i="52"/>
  <c r="B21" i="52"/>
  <c r="P15" i="52"/>
  <c r="B13" i="52"/>
  <c r="H22" i="50"/>
  <c r="D21" i="50"/>
  <c r="T16" i="50"/>
  <c r="H13" i="50"/>
  <c r="B22" i="49"/>
  <c r="D21" i="49"/>
  <c r="H15" i="49"/>
  <c r="T24" i="47"/>
  <c r="T22" i="47"/>
  <c r="P12" i="47"/>
  <c r="T34" i="46"/>
  <c r="T33" i="46"/>
  <c r="T29" i="46"/>
  <c r="T25" i="46"/>
  <c r="B16" i="46"/>
  <c r="D15" i="46"/>
  <c r="T12" i="46"/>
  <c r="B38" i="53"/>
  <c r="D33" i="53"/>
  <c r="T15" i="53"/>
  <c r="H12" i="53"/>
  <c r="B22" i="52"/>
  <c r="P16" i="52"/>
  <c r="H34" i="50"/>
  <c r="D22" i="50"/>
  <c r="B21" i="50"/>
  <c r="P15" i="50"/>
  <c r="B13" i="50"/>
  <c r="B21" i="49"/>
  <c r="D20" i="49"/>
  <c r="D16" i="49"/>
  <c r="P34" i="47"/>
  <c r="P33" i="47"/>
  <c r="P29" i="47"/>
  <c r="P25" i="47"/>
  <c r="T21" i="47"/>
  <c r="T24" i="46"/>
  <c r="T22" i="46"/>
  <c r="P12" i="46"/>
  <c r="T25" i="53"/>
  <c r="P15" i="53"/>
  <c r="D5" i="53"/>
  <c r="H24" i="52"/>
  <c r="T29" i="50"/>
  <c r="H24" i="50"/>
  <c r="B22" i="50"/>
  <c r="P16" i="50"/>
  <c r="T34" i="49"/>
  <c r="T33" i="49"/>
  <c r="T29" i="49"/>
  <c r="T25" i="49"/>
  <c r="B16" i="49"/>
  <c r="D15" i="49"/>
  <c r="T12" i="49"/>
  <c r="P24" i="47"/>
  <c r="P22" i="47"/>
  <c r="T20" i="47"/>
  <c r="T16" i="47"/>
  <c r="T13" i="47"/>
  <c r="P34" i="46"/>
  <c r="P33" i="46"/>
  <c r="P29" i="46"/>
  <c r="P25" i="46"/>
  <c r="T21" i="46"/>
  <c r="P25" i="53"/>
  <c r="T21" i="53"/>
  <c r="B39" i="52"/>
  <c r="D24" i="52"/>
  <c r="T20" i="52"/>
  <c r="H15" i="52"/>
  <c r="T12" i="52"/>
  <c r="H25" i="50"/>
  <c r="D24" i="50"/>
  <c r="T24" i="49"/>
  <c r="T22" i="49"/>
  <c r="P12" i="49"/>
  <c r="P21" i="47"/>
  <c r="T15" i="47"/>
  <c r="P13" i="47"/>
  <c r="H12" i="47"/>
  <c r="P24" i="46"/>
  <c r="P22" i="46"/>
  <c r="T20" i="46"/>
  <c r="T16" i="46"/>
  <c r="T13" i="46"/>
  <c r="H25" i="53"/>
  <c r="H15" i="53"/>
  <c r="H25" i="52"/>
  <c r="H16" i="52"/>
  <c r="P12" i="52"/>
  <c r="T20" i="50"/>
  <c r="H15" i="50"/>
  <c r="T12" i="50"/>
  <c r="P34" i="49"/>
  <c r="P33" i="49"/>
  <c r="P29" i="49"/>
  <c r="P25" i="49"/>
  <c r="T21" i="49"/>
  <c r="P20" i="47"/>
  <c r="P16" i="47"/>
  <c r="D12" i="47"/>
  <c r="P21" i="46"/>
  <c r="T15" i="46"/>
  <c r="P13" i="46"/>
  <c r="H12" i="46"/>
  <c r="D25" i="53"/>
  <c r="H21" i="53"/>
  <c r="D15" i="53"/>
  <c r="P20" i="52"/>
  <c r="D15" i="52"/>
  <c r="B25" i="50"/>
  <c r="H16" i="50"/>
  <c r="P12" i="50"/>
  <c r="P24" i="49"/>
  <c r="P22" i="49"/>
  <c r="T20" i="49"/>
  <c r="T16" i="49"/>
  <c r="T13" i="49"/>
  <c r="H34" i="47"/>
  <c r="H33" i="47"/>
  <c r="H29" i="47"/>
  <c r="H25" i="47"/>
  <c r="P15" i="47"/>
  <c r="D5" i="47"/>
  <c r="P20" i="46"/>
  <c r="P16" i="46"/>
  <c r="D12" i="46"/>
  <c r="B39" i="44"/>
  <c r="H24" i="44"/>
  <c r="H22" i="44"/>
  <c r="H13" i="44"/>
  <c r="D4" i="44"/>
  <c r="H34" i="43"/>
  <c r="H33" i="43"/>
  <c r="H29" i="43"/>
  <c r="H25" i="43"/>
  <c r="P15" i="43"/>
  <c r="D5" i="43"/>
  <c r="T34" i="53"/>
  <c r="T29" i="53"/>
  <c r="B25" i="52"/>
  <c r="T22" i="52"/>
  <c r="P21" i="52"/>
  <c r="D16" i="52"/>
  <c r="H12" i="52"/>
  <c r="B39" i="50"/>
  <c r="T33" i="50"/>
  <c r="P20" i="50"/>
  <c r="D15" i="50"/>
  <c r="P21" i="49"/>
  <c r="T15" i="49"/>
  <c r="P13" i="49"/>
  <c r="H12" i="49"/>
  <c r="B39" i="47"/>
  <c r="H24" i="47"/>
  <c r="H22" i="47"/>
  <c r="H13" i="47"/>
  <c r="D4" i="47"/>
  <c r="H34" i="46"/>
  <c r="H33" i="46"/>
  <c r="H29" i="46"/>
  <c r="H25" i="46"/>
  <c r="P15" i="46"/>
  <c r="D5" i="46"/>
  <c r="P34" i="53"/>
  <c r="P29" i="53"/>
  <c r="P13" i="53"/>
  <c r="P22" i="52"/>
  <c r="B16" i="52"/>
  <c r="T13" i="52"/>
  <c r="D12" i="52"/>
  <c r="H29" i="50"/>
  <c r="T22" i="50"/>
  <c r="P21" i="50"/>
  <c r="D16" i="50"/>
  <c r="H12" i="50"/>
  <c r="P20" i="49"/>
  <c r="P16" i="49"/>
  <c r="D12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H34" i="53"/>
  <c r="H29" i="53"/>
  <c r="T29" i="52"/>
  <c r="H20" i="52"/>
  <c r="P13" i="52"/>
  <c r="D5" i="52"/>
  <c r="T34" i="50"/>
  <c r="P22" i="50"/>
  <c r="B16" i="50"/>
  <c r="T13" i="50"/>
  <c r="D12" i="50"/>
  <c r="H34" i="49"/>
  <c r="H33" i="49"/>
  <c r="H29" i="49"/>
  <c r="H25" i="49"/>
  <c r="P15" i="49"/>
  <c r="D5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D34" i="53"/>
  <c r="D29" i="53"/>
  <c r="D13" i="53"/>
  <c r="T24" i="52"/>
  <c r="D4" i="52"/>
  <c r="T24" i="50"/>
  <c r="H20" i="50"/>
  <c r="P13" i="50"/>
  <c r="D5" i="50"/>
  <c r="H24" i="49"/>
  <c r="H22" i="49"/>
  <c r="H13" i="49"/>
  <c r="D4" i="49"/>
  <c r="B22" i="47"/>
  <c r="D21" i="47"/>
  <c r="H15" i="47"/>
  <c r="B25" i="46"/>
  <c r="D24" i="46"/>
  <c r="D22" i="46"/>
  <c r="H20" i="46"/>
  <c r="H16" i="46"/>
  <c r="B13" i="46"/>
  <c r="T33" i="53"/>
  <c r="P24" i="52"/>
  <c r="D20" i="52"/>
  <c r="T15" i="52"/>
  <c r="T25" i="50"/>
  <c r="P24" i="50"/>
  <c r="D4" i="50"/>
  <c r="D34" i="49"/>
  <c r="D33" i="49"/>
  <c r="D29" i="49"/>
  <c r="D25" i="49"/>
  <c r="H21" i="49"/>
  <c r="D13" i="49"/>
  <c r="B21" i="47"/>
  <c r="D20" i="47"/>
  <c r="D16" i="47"/>
  <c r="B22" i="46"/>
  <c r="D21" i="46"/>
  <c r="H15" i="46"/>
  <c r="P33" i="53"/>
  <c r="B16" i="53"/>
  <c r="T12" i="53"/>
  <c r="H22" i="52"/>
  <c r="D21" i="52"/>
  <c r="T16" i="52"/>
  <c r="H13" i="52"/>
  <c r="H33" i="50"/>
  <c r="D20" i="50"/>
  <c r="T15" i="50"/>
  <c r="B38" i="49"/>
  <c r="B25" i="49"/>
  <c r="D24" i="49"/>
  <c r="D22" i="49"/>
  <c r="H20" i="49"/>
  <c r="H16" i="49"/>
  <c r="B13" i="49"/>
  <c r="T34" i="47"/>
  <c r="T33" i="47"/>
  <c r="T29" i="47"/>
  <c r="T25" i="47"/>
  <c r="B16" i="47"/>
  <c r="D15" i="47"/>
  <c r="T12" i="47"/>
  <c r="B21" i="46"/>
  <c r="D20" i="46"/>
  <c r="D16" i="46"/>
  <c r="T24" i="44"/>
  <c r="T22" i="44"/>
  <c r="P12" i="44"/>
  <c r="T34" i="43"/>
  <c r="T33" i="43"/>
  <c r="T29" i="43"/>
  <c r="T25" i="43"/>
  <c r="B16" i="43"/>
  <c r="D15" i="43"/>
  <c r="T12" i="43"/>
  <c r="H34" i="44"/>
  <c r="D22" i="44"/>
  <c r="B21" i="44"/>
  <c r="P15" i="44"/>
  <c r="B13" i="44"/>
  <c r="D29" i="43"/>
  <c r="T24" i="43"/>
  <c r="P22" i="43"/>
  <c r="T13" i="43"/>
  <c r="D12" i="43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D34" i="44"/>
  <c r="T29" i="44"/>
  <c r="B22" i="44"/>
  <c r="P16" i="44"/>
  <c r="P34" i="43"/>
  <c r="H20" i="43"/>
  <c r="P13" i="43"/>
  <c r="D4" i="43"/>
  <c r="B22" i="41"/>
  <c r="D21" i="41"/>
  <c r="H15" i="41"/>
  <c r="B25" i="40"/>
  <c r="D24" i="40"/>
  <c r="D22" i="40"/>
  <c r="H20" i="40"/>
  <c r="H16" i="40"/>
  <c r="B13" i="40"/>
  <c r="P29" i="44"/>
  <c r="H25" i="44"/>
  <c r="D24" i="44"/>
  <c r="P24" i="43"/>
  <c r="H21" i="43"/>
  <c r="B21" i="41"/>
  <c r="D20" i="41"/>
  <c r="D16" i="41"/>
  <c r="B22" i="40"/>
  <c r="D21" i="40"/>
  <c r="H15" i="40"/>
  <c r="D25" i="44"/>
  <c r="T20" i="44"/>
  <c r="H15" i="44"/>
  <c r="T12" i="44"/>
  <c r="P25" i="43"/>
  <c r="H22" i="43"/>
  <c r="D20" i="43"/>
  <c r="T15" i="43"/>
  <c r="H13" i="43"/>
  <c r="T34" i="41"/>
  <c r="T33" i="41"/>
  <c r="T29" i="41"/>
  <c r="T25" i="41"/>
  <c r="B16" i="41"/>
  <c r="D15" i="41"/>
  <c r="T12" i="41"/>
  <c r="B21" i="40"/>
  <c r="D20" i="40"/>
  <c r="D16" i="40"/>
  <c r="B25" i="44"/>
  <c r="T21" i="44"/>
  <c r="H16" i="44"/>
  <c r="D33" i="43"/>
  <c r="D21" i="43"/>
  <c r="T16" i="43"/>
  <c r="D13" i="43"/>
  <c r="T24" i="41"/>
  <c r="T22" i="41"/>
  <c r="P12" i="41"/>
  <c r="T34" i="40"/>
  <c r="T33" i="40"/>
  <c r="T29" i="40"/>
  <c r="T25" i="40"/>
  <c r="B16" i="40"/>
  <c r="D15" i="40"/>
  <c r="T12" i="40"/>
  <c r="B38" i="44"/>
  <c r="T33" i="44"/>
  <c r="P20" i="44"/>
  <c r="D15" i="44"/>
  <c r="H24" i="43"/>
  <c r="D22" i="43"/>
  <c r="B21" i="43"/>
  <c r="B13" i="43"/>
  <c r="P34" i="41"/>
  <c r="P33" i="41"/>
  <c r="P29" i="41"/>
  <c r="P25" i="41"/>
  <c r="T21" i="41"/>
  <c r="T24" i="40"/>
  <c r="T22" i="40"/>
  <c r="P12" i="40"/>
  <c r="T24" i="38"/>
  <c r="T22" i="38"/>
  <c r="P12" i="38"/>
  <c r="T34" i="37"/>
  <c r="T33" i="37"/>
  <c r="T29" i="37"/>
  <c r="T25" i="37"/>
  <c r="B16" i="37"/>
  <c r="D15" i="37"/>
  <c r="T12" i="37"/>
  <c r="P33" i="44"/>
  <c r="H29" i="44"/>
  <c r="P21" i="44"/>
  <c r="D16" i="44"/>
  <c r="H12" i="44"/>
  <c r="D34" i="43"/>
  <c r="B22" i="43"/>
  <c r="P16" i="43"/>
  <c r="P24" i="41"/>
  <c r="P22" i="41"/>
  <c r="T20" i="41"/>
  <c r="T16" i="41"/>
  <c r="T13" i="41"/>
  <c r="P34" i="40"/>
  <c r="P33" i="40"/>
  <c r="P29" i="40"/>
  <c r="P25" i="40"/>
  <c r="T21" i="40"/>
  <c r="T34" i="44"/>
  <c r="D29" i="44"/>
  <c r="P22" i="44"/>
  <c r="B16" i="44"/>
  <c r="T13" i="44"/>
  <c r="D12" i="44"/>
  <c r="P29" i="43"/>
  <c r="D24" i="43"/>
  <c r="P21" i="41"/>
  <c r="T15" i="41"/>
  <c r="P13" i="41"/>
  <c r="H12" i="41"/>
  <c r="P24" i="40"/>
  <c r="P22" i="40"/>
  <c r="T20" i="40"/>
  <c r="T16" i="40"/>
  <c r="T13" i="40"/>
  <c r="P34" i="44"/>
  <c r="H20" i="44"/>
  <c r="P13" i="44"/>
  <c r="D5" i="44"/>
  <c r="D25" i="43"/>
  <c r="T20" i="43"/>
  <c r="H15" i="43"/>
  <c r="P12" i="43"/>
  <c r="P20" i="41"/>
  <c r="P16" i="41"/>
  <c r="D12" i="41"/>
  <c r="P21" i="40"/>
  <c r="T15" i="40"/>
  <c r="P13" i="40"/>
  <c r="H12" i="40"/>
  <c r="T25" i="44"/>
  <c r="P24" i="44"/>
  <c r="H21" i="44"/>
  <c r="B39" i="43"/>
  <c r="B25" i="43"/>
  <c r="T21" i="43"/>
  <c r="H16" i="43"/>
  <c r="H34" i="41"/>
  <c r="H33" i="41"/>
  <c r="H29" i="41"/>
  <c r="H25" i="41"/>
  <c r="P15" i="41"/>
  <c r="D5" i="41"/>
  <c r="P20" i="40"/>
  <c r="P16" i="40"/>
  <c r="D12" i="40"/>
  <c r="H33" i="44"/>
  <c r="P25" i="44"/>
  <c r="D20" i="44"/>
  <c r="T15" i="44"/>
  <c r="B38" i="43"/>
  <c r="T22" i="43"/>
  <c r="P20" i="43"/>
  <c r="B39" i="41"/>
  <c r="H24" i="41"/>
  <c r="H22" i="41"/>
  <c r="H13" i="41"/>
  <c r="D4" i="41"/>
  <c r="H34" i="40"/>
  <c r="H33" i="40"/>
  <c r="H29" i="40"/>
  <c r="H25" i="40"/>
  <c r="P15" i="40"/>
  <c r="D5" i="40"/>
  <c r="D33" i="44"/>
  <c r="D21" i="44"/>
  <c r="T16" i="44"/>
  <c r="D13" i="44"/>
  <c r="P33" i="43"/>
  <c r="P21" i="43"/>
  <c r="D16" i="43"/>
  <c r="H12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B39" i="38"/>
  <c r="H24" i="38"/>
  <c r="H22" i="38"/>
  <c r="H13" i="38"/>
  <c r="D4" i="38"/>
  <c r="H34" i="37"/>
  <c r="H33" i="37"/>
  <c r="H29" i="37"/>
  <c r="H25" i="37"/>
  <c r="P15" i="37"/>
  <c r="D5" i="37"/>
  <c r="D25" i="38"/>
  <c r="T20" i="38"/>
  <c r="H15" i="38"/>
  <c r="T12" i="38"/>
  <c r="P25" i="37"/>
  <c r="H22" i="37"/>
  <c r="D20" i="37"/>
  <c r="T15" i="37"/>
  <c r="H13" i="37"/>
  <c r="P34" i="35"/>
  <c r="P33" i="35"/>
  <c r="P29" i="35"/>
  <c r="P25" i="35"/>
  <c r="T21" i="35"/>
  <c r="T24" i="34"/>
  <c r="T22" i="34"/>
  <c r="P12" i="34"/>
  <c r="T24" i="32"/>
  <c r="T22" i="32"/>
  <c r="P12" i="32"/>
  <c r="T34" i="31"/>
  <c r="T33" i="31"/>
  <c r="T29" i="31"/>
  <c r="T25" i="31"/>
  <c r="B16" i="31"/>
  <c r="D15" i="31"/>
  <c r="T12" i="31"/>
  <c r="B25" i="38"/>
  <c r="T21" i="38"/>
  <c r="H16" i="38"/>
  <c r="D33" i="37"/>
  <c r="D21" i="37"/>
  <c r="T16" i="37"/>
  <c r="D13" i="37"/>
  <c r="P24" i="35"/>
  <c r="P22" i="35"/>
  <c r="T20" i="35"/>
  <c r="T16" i="35"/>
  <c r="T13" i="35"/>
  <c r="P34" i="34"/>
  <c r="P33" i="34"/>
  <c r="P29" i="34"/>
  <c r="P25" i="34"/>
  <c r="T21" i="34"/>
  <c r="B38" i="38"/>
  <c r="T33" i="38"/>
  <c r="P20" i="38"/>
  <c r="D15" i="38"/>
  <c r="H24" i="37"/>
  <c r="D22" i="37"/>
  <c r="B21" i="37"/>
  <c r="B13" i="37"/>
  <c r="P21" i="35"/>
  <c r="T15" i="35"/>
  <c r="P13" i="35"/>
  <c r="H12" i="35"/>
  <c r="P24" i="34"/>
  <c r="P22" i="34"/>
  <c r="T20" i="34"/>
  <c r="T16" i="34"/>
  <c r="T13" i="34"/>
  <c r="P33" i="38"/>
  <c r="H29" i="38"/>
  <c r="P21" i="38"/>
  <c r="D16" i="38"/>
  <c r="H12" i="38"/>
  <c r="D34" i="37"/>
  <c r="B22" i="37"/>
  <c r="P16" i="37"/>
  <c r="P20" i="35"/>
  <c r="P16" i="35"/>
  <c r="D12" i="35"/>
  <c r="P21" i="34"/>
  <c r="T15" i="34"/>
  <c r="P13" i="34"/>
  <c r="H12" i="34"/>
  <c r="P21" i="32"/>
  <c r="T15" i="32"/>
  <c r="P13" i="32"/>
  <c r="H12" i="32"/>
  <c r="P24" i="31"/>
  <c r="P22" i="31"/>
  <c r="T20" i="31"/>
  <c r="T16" i="31"/>
  <c r="T13" i="31"/>
  <c r="T34" i="38"/>
  <c r="D29" i="38"/>
  <c r="P22" i="38"/>
  <c r="B16" i="38"/>
  <c r="T13" i="38"/>
  <c r="D12" i="38"/>
  <c r="P29" i="37"/>
  <c r="D24" i="37"/>
  <c r="H34" i="35"/>
  <c r="H33" i="35"/>
  <c r="H29" i="35"/>
  <c r="H25" i="35"/>
  <c r="P15" i="35"/>
  <c r="D5" i="35"/>
  <c r="P20" i="34"/>
  <c r="P16" i="34"/>
  <c r="D12" i="34"/>
  <c r="P20" i="32"/>
  <c r="P16" i="32"/>
  <c r="D12" i="32"/>
  <c r="P34" i="38"/>
  <c r="H20" i="38"/>
  <c r="P13" i="38"/>
  <c r="D5" i="38"/>
  <c r="D25" i="37"/>
  <c r="T20" i="37"/>
  <c r="H15" i="37"/>
  <c r="P12" i="37"/>
  <c r="B39" i="35"/>
  <c r="H24" i="35"/>
  <c r="H22" i="35"/>
  <c r="H13" i="35"/>
  <c r="D4" i="35"/>
  <c r="H34" i="34"/>
  <c r="H33" i="34"/>
  <c r="H29" i="34"/>
  <c r="H25" i="34"/>
  <c r="P15" i="34"/>
  <c r="D5" i="34"/>
  <c r="H34" i="32"/>
  <c r="H33" i="32"/>
  <c r="H29" i="32"/>
  <c r="H25" i="32"/>
  <c r="P15" i="32"/>
  <c r="D5" i="32"/>
  <c r="P20" i="31"/>
  <c r="P16" i="31"/>
  <c r="D12" i="31"/>
  <c r="T25" i="38"/>
  <c r="P24" i="38"/>
  <c r="H21" i="38"/>
  <c r="B39" i="37"/>
  <c r="B25" i="37"/>
  <c r="T21" i="37"/>
  <c r="H16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39" i="32"/>
  <c r="H24" i="32"/>
  <c r="H22" i="32"/>
  <c r="H13" i="32"/>
  <c r="D4" i="32"/>
  <c r="H34" i="31"/>
  <c r="H33" i="31"/>
  <c r="H29" i="31"/>
  <c r="H25" i="31"/>
  <c r="P15" i="31"/>
  <c r="D5" i="31"/>
  <c r="H33" i="38"/>
  <c r="P25" i="38"/>
  <c r="D20" i="38"/>
  <c r="T15" i="38"/>
  <c r="B38" i="37"/>
  <c r="T22" i="37"/>
  <c r="P20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38" i="32"/>
  <c r="D34" i="32"/>
  <c r="D33" i="32"/>
  <c r="D29" i="32"/>
  <c r="D25" i="32"/>
  <c r="H21" i="32"/>
  <c r="D13" i="32"/>
  <c r="B39" i="31"/>
  <c r="D33" i="38"/>
  <c r="D21" i="38"/>
  <c r="T16" i="38"/>
  <c r="D13" i="38"/>
  <c r="P33" i="37"/>
  <c r="P21" i="37"/>
  <c r="D16" i="37"/>
  <c r="H12" i="37"/>
  <c r="B22" i="35"/>
  <c r="D21" i="35"/>
  <c r="H15" i="35"/>
  <c r="B25" i="34"/>
  <c r="D24" i="34"/>
  <c r="D22" i="34"/>
  <c r="H20" i="34"/>
  <c r="H16" i="34"/>
  <c r="B13" i="34"/>
  <c r="B25" i="32"/>
  <c r="D24" i="32"/>
  <c r="D22" i="32"/>
  <c r="H20" i="32"/>
  <c r="H16" i="32"/>
  <c r="H34" i="38"/>
  <c r="D22" i="38"/>
  <c r="B21" i="38"/>
  <c r="P15" i="38"/>
  <c r="B13" i="38"/>
  <c r="D29" i="37"/>
  <c r="T24" i="37"/>
  <c r="P22" i="37"/>
  <c r="T13" i="37"/>
  <c r="D12" i="37"/>
  <c r="B21" i="35"/>
  <c r="D20" i="35"/>
  <c r="D16" i="35"/>
  <c r="B22" i="34"/>
  <c r="D21" i="34"/>
  <c r="H15" i="34"/>
  <c r="B22" i="32"/>
  <c r="D21" i="32"/>
  <c r="H15" i="32"/>
  <c r="B25" i="31"/>
  <c r="D24" i="31"/>
  <c r="D22" i="31"/>
  <c r="H20" i="31"/>
  <c r="H16" i="31"/>
  <c r="D34" i="38"/>
  <c r="T29" i="38"/>
  <c r="B22" i="38"/>
  <c r="P16" i="38"/>
  <c r="P34" i="37"/>
  <c r="H20" i="37"/>
  <c r="P13" i="37"/>
  <c r="D4" i="37"/>
  <c r="T34" i="35"/>
  <c r="T33" i="35"/>
  <c r="T29" i="35"/>
  <c r="T25" i="35"/>
  <c r="B16" i="35"/>
  <c r="D15" i="35"/>
  <c r="T12" i="35"/>
  <c r="B21" i="34"/>
  <c r="D20" i="34"/>
  <c r="D16" i="34"/>
  <c r="B21" i="32"/>
  <c r="D20" i="32"/>
  <c r="D16" i="32"/>
  <c r="P29" i="38"/>
  <c r="H25" i="38"/>
  <c r="D24" i="38"/>
  <c r="P24" i="37"/>
  <c r="H21" i="37"/>
  <c r="T24" i="35"/>
  <c r="T22" i="35"/>
  <c r="P12" i="35"/>
  <c r="T34" i="34"/>
  <c r="T33" i="34"/>
  <c r="T29" i="34"/>
  <c r="T25" i="34"/>
  <c r="B16" i="34"/>
  <c r="D15" i="34"/>
  <c r="T12" i="34"/>
  <c r="T34" i="32"/>
  <c r="T33" i="32"/>
  <c r="T29" i="32"/>
  <c r="T25" i="32"/>
  <c r="B16" i="32"/>
  <c r="D15" i="32"/>
  <c r="T12" i="32"/>
  <c r="B21" i="31"/>
  <c r="D20" i="31"/>
  <c r="D16" i="31"/>
  <c r="B13" i="32"/>
  <c r="D34" i="31"/>
  <c r="T22" i="31"/>
  <c r="B22" i="29"/>
  <c r="D21" i="29"/>
  <c r="H15" i="29"/>
  <c r="B25" i="28"/>
  <c r="D24" i="28"/>
  <c r="D22" i="28"/>
  <c r="H20" i="28"/>
  <c r="H16" i="28"/>
  <c r="B13" i="28"/>
  <c r="P24" i="26"/>
  <c r="P22" i="26"/>
  <c r="T20" i="26"/>
  <c r="T16" i="26"/>
  <c r="T13" i="26"/>
  <c r="P34" i="25"/>
  <c r="P33" i="25"/>
  <c r="P29" i="25"/>
  <c r="P25" i="25"/>
  <c r="T21" i="25"/>
  <c r="B39" i="23"/>
  <c r="H24" i="23"/>
  <c r="H22" i="23"/>
  <c r="H13" i="23"/>
  <c r="D4" i="23"/>
  <c r="H34" i="22"/>
  <c r="H33" i="22"/>
  <c r="H29" i="22"/>
  <c r="H25" i="22"/>
  <c r="P15" i="22"/>
  <c r="D5" i="22"/>
  <c r="P34" i="32"/>
  <c r="P29" i="31"/>
  <c r="P25" i="31"/>
  <c r="B21" i="29"/>
  <c r="D20" i="29"/>
  <c r="D16" i="29"/>
  <c r="B22" i="28"/>
  <c r="D21" i="28"/>
  <c r="H15" i="28"/>
  <c r="P21" i="26"/>
  <c r="T15" i="26"/>
  <c r="P13" i="26"/>
  <c r="H12" i="26"/>
  <c r="P24" i="25"/>
  <c r="P22" i="25"/>
  <c r="T20" i="25"/>
  <c r="T16" i="25"/>
  <c r="T13" i="25"/>
  <c r="P33" i="32"/>
  <c r="T20" i="32"/>
  <c r="P13" i="31"/>
  <c r="T34" i="29"/>
  <c r="T33" i="29"/>
  <c r="T29" i="29"/>
  <c r="T25" i="29"/>
  <c r="B16" i="29"/>
  <c r="D15" i="29"/>
  <c r="T12" i="29"/>
  <c r="B21" i="28"/>
  <c r="D20" i="28"/>
  <c r="D16" i="28"/>
  <c r="P20" i="26"/>
  <c r="P16" i="26"/>
  <c r="D12" i="26"/>
  <c r="P21" i="25"/>
  <c r="T15" i="25"/>
  <c r="P13" i="25"/>
  <c r="H12" i="25"/>
  <c r="B38" i="31"/>
  <c r="P33" i="31"/>
  <c r="H22" i="31"/>
  <c r="H13" i="31"/>
  <c r="T24" i="29"/>
  <c r="T22" i="29"/>
  <c r="P12" i="29"/>
  <c r="T34" i="28"/>
  <c r="T33" i="28"/>
  <c r="T29" i="28"/>
  <c r="T25" i="28"/>
  <c r="B16" i="28"/>
  <c r="D15" i="28"/>
  <c r="T12" i="28"/>
  <c r="H34" i="26"/>
  <c r="H33" i="26"/>
  <c r="H29" i="26"/>
  <c r="H25" i="26"/>
  <c r="P15" i="26"/>
  <c r="D5" i="26"/>
  <c r="P20" i="25"/>
  <c r="P16" i="25"/>
  <c r="D12" i="25"/>
  <c r="P29" i="32"/>
  <c r="D29" i="31"/>
  <c r="D25" i="31"/>
  <c r="D13" i="31"/>
  <c r="P34" i="29"/>
  <c r="P33" i="29"/>
  <c r="P29" i="29"/>
  <c r="P25" i="29"/>
  <c r="T21" i="29"/>
  <c r="T24" i="28"/>
  <c r="T22" i="28"/>
  <c r="P12" i="28"/>
  <c r="B39" i="26"/>
  <c r="H24" i="26"/>
  <c r="H22" i="26"/>
  <c r="H13" i="26"/>
  <c r="D4" i="26"/>
  <c r="H34" i="25"/>
  <c r="H33" i="25"/>
  <c r="H29" i="25"/>
  <c r="H25" i="25"/>
  <c r="P15" i="25"/>
  <c r="D5" i="25"/>
  <c r="D33" i="31"/>
  <c r="B22" i="31"/>
  <c r="B13" i="31"/>
  <c r="P24" i="29"/>
  <c r="P22" i="29"/>
  <c r="T20" i="29"/>
  <c r="T16" i="29"/>
  <c r="T13" i="29"/>
  <c r="P34" i="28"/>
  <c r="P33" i="28"/>
  <c r="P29" i="28"/>
  <c r="P25" i="28"/>
  <c r="T21" i="28"/>
  <c r="B38" i="26"/>
  <c r="D34" i="26"/>
  <c r="D33" i="26"/>
  <c r="D29" i="26"/>
  <c r="D25" i="26"/>
  <c r="H21" i="26"/>
  <c r="D13" i="26"/>
  <c r="B39" i="25"/>
  <c r="H24" i="25"/>
  <c r="H22" i="25"/>
  <c r="H13" i="25"/>
  <c r="D4" i="25"/>
  <c r="T34" i="23"/>
  <c r="T33" i="23"/>
  <c r="T29" i="23"/>
  <c r="T25" i="23"/>
  <c r="B16" i="23"/>
  <c r="D15" i="23"/>
  <c r="T12" i="23"/>
  <c r="B21" i="22"/>
  <c r="D20" i="22"/>
  <c r="D16" i="22"/>
  <c r="P25" i="32"/>
  <c r="T16" i="32"/>
  <c r="T24" i="31"/>
  <c r="P21" i="29"/>
  <c r="T15" i="29"/>
  <c r="P13" i="29"/>
  <c r="H12" i="29"/>
  <c r="P24" i="28"/>
  <c r="P22" i="28"/>
  <c r="T20" i="28"/>
  <c r="T16" i="28"/>
  <c r="T13" i="28"/>
  <c r="B25" i="26"/>
  <c r="D24" i="26"/>
  <c r="D22" i="26"/>
  <c r="H20" i="26"/>
  <c r="H16" i="26"/>
  <c r="B13" i="26"/>
  <c r="B38" i="25"/>
  <c r="D34" i="25"/>
  <c r="D33" i="25"/>
  <c r="D29" i="25"/>
  <c r="D25" i="25"/>
  <c r="H21" i="25"/>
  <c r="D13" i="25"/>
  <c r="T24" i="23"/>
  <c r="T22" i="23"/>
  <c r="P12" i="23"/>
  <c r="T34" i="22"/>
  <c r="T33" i="22"/>
  <c r="T29" i="22"/>
  <c r="T25" i="22"/>
  <c r="B16" i="22"/>
  <c r="D15" i="22"/>
  <c r="T12" i="22"/>
  <c r="T21" i="31"/>
  <c r="P12" i="31"/>
  <c r="P20" i="29"/>
  <c r="P16" i="29"/>
  <c r="D12" i="29"/>
  <c r="P21" i="28"/>
  <c r="T15" i="28"/>
  <c r="P13" i="28"/>
  <c r="H12" i="28"/>
  <c r="B22" i="26"/>
  <c r="D21" i="26"/>
  <c r="H15" i="26"/>
  <c r="B25" i="25"/>
  <c r="D24" i="25"/>
  <c r="D22" i="25"/>
  <c r="H20" i="25"/>
  <c r="H16" i="25"/>
  <c r="B13" i="25"/>
  <c r="P24" i="32"/>
  <c r="P21" i="31"/>
  <c r="T15" i="31"/>
  <c r="H34" i="29"/>
  <c r="H33" i="29"/>
  <c r="H29" i="29"/>
  <c r="H25" i="29"/>
  <c r="P15" i="29"/>
  <c r="D5" i="29"/>
  <c r="P20" i="28"/>
  <c r="P16" i="28"/>
  <c r="D12" i="28"/>
  <c r="B21" i="26"/>
  <c r="D20" i="26"/>
  <c r="D16" i="26"/>
  <c r="B22" i="25"/>
  <c r="D21" i="25"/>
  <c r="H15" i="25"/>
  <c r="H24" i="31"/>
  <c r="B39" i="29"/>
  <c r="H24" i="29"/>
  <c r="H22" i="29"/>
  <c r="H13" i="29"/>
  <c r="D4" i="29"/>
  <c r="H34" i="28"/>
  <c r="H33" i="28"/>
  <c r="H29" i="28"/>
  <c r="H25" i="28"/>
  <c r="P15" i="28"/>
  <c r="D5" i="28"/>
  <c r="T34" i="26"/>
  <c r="T33" i="26"/>
  <c r="T29" i="26"/>
  <c r="T25" i="26"/>
  <c r="B16" i="26"/>
  <c r="D15" i="26"/>
  <c r="T12" i="26"/>
  <c r="B21" i="25"/>
  <c r="D20" i="25"/>
  <c r="D16" i="25"/>
  <c r="P22" i="32"/>
  <c r="P34" i="31"/>
  <c r="H21" i="31"/>
  <c r="H12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T24" i="26"/>
  <c r="T22" i="26"/>
  <c r="P12" i="26"/>
  <c r="T34" i="25"/>
  <c r="T33" i="25"/>
  <c r="T29" i="25"/>
  <c r="T25" i="25"/>
  <c r="B16" i="25"/>
  <c r="D15" i="25"/>
  <c r="T12" i="25"/>
  <c r="T21" i="32"/>
  <c r="T13" i="32"/>
  <c r="D21" i="31"/>
  <c r="H15" i="31"/>
  <c r="D4" i="31"/>
  <c r="B25" i="29"/>
  <c r="D24" i="29"/>
  <c r="D22" i="29"/>
  <c r="H20" i="29"/>
  <c r="H16" i="29"/>
  <c r="B13" i="29"/>
  <c r="B38" i="28"/>
  <c r="D34" i="28"/>
  <c r="D33" i="28"/>
  <c r="D29" i="28"/>
  <c r="D25" i="28"/>
  <c r="H21" i="28"/>
  <c r="D13" i="28"/>
  <c r="P34" i="26"/>
  <c r="P33" i="26"/>
  <c r="P29" i="26"/>
  <c r="P25" i="26"/>
  <c r="T21" i="26"/>
  <c r="T24" i="25"/>
  <c r="T22" i="25"/>
  <c r="P12" i="25"/>
  <c r="H34" i="23"/>
  <c r="H33" i="23"/>
  <c r="H29" i="23"/>
  <c r="H25" i="23"/>
  <c r="P15" i="23"/>
  <c r="D5" i="23"/>
  <c r="P20" i="22"/>
  <c r="P16" i="22"/>
  <c r="D12" i="22"/>
  <c r="P20" i="23"/>
  <c r="P21" i="22"/>
  <c r="H15" i="22"/>
  <c r="H12" i="22"/>
  <c r="H34" i="20"/>
  <c r="D33" i="20"/>
  <c r="P21" i="20"/>
  <c r="T15" i="20"/>
  <c r="P13" i="20"/>
  <c r="H12" i="20"/>
  <c r="P24" i="19"/>
  <c r="P22" i="19"/>
  <c r="T20" i="19"/>
  <c r="T16" i="19"/>
  <c r="T13" i="19"/>
  <c r="B22" i="17"/>
  <c r="D21" i="17"/>
  <c r="H15" i="17"/>
  <c r="B25" i="16"/>
  <c r="D24" i="16"/>
  <c r="D22" i="16"/>
  <c r="H20" i="16"/>
  <c r="H16" i="16"/>
  <c r="B13" i="16"/>
  <c r="D34" i="23"/>
  <c r="D29" i="23"/>
  <c r="P25" i="23"/>
  <c r="T21" i="23"/>
  <c r="T22" i="22"/>
  <c r="D4" i="22"/>
  <c r="T29" i="20"/>
  <c r="P20" i="20"/>
  <c r="P16" i="20"/>
  <c r="D12" i="20"/>
  <c r="P21" i="19"/>
  <c r="T15" i="19"/>
  <c r="P13" i="19"/>
  <c r="H12" i="19"/>
  <c r="B21" i="17"/>
  <c r="D20" i="17"/>
  <c r="D16" i="17"/>
  <c r="B22" i="16"/>
  <c r="D21" i="16"/>
  <c r="H15" i="16"/>
  <c r="D24" i="23"/>
  <c r="H20" i="23"/>
  <c r="T16" i="23"/>
  <c r="P33" i="22"/>
  <c r="D25" i="22"/>
  <c r="H21" i="22"/>
  <c r="D34" i="20"/>
  <c r="H25" i="20"/>
  <c r="P15" i="20"/>
  <c r="D5" i="20"/>
  <c r="P20" i="19"/>
  <c r="P16" i="19"/>
  <c r="D12" i="19"/>
  <c r="T34" i="17"/>
  <c r="P21" i="23"/>
  <c r="H15" i="23"/>
  <c r="H12" i="23"/>
  <c r="B25" i="22"/>
  <c r="P22" i="22"/>
  <c r="H16" i="22"/>
  <c r="T13" i="22"/>
  <c r="P29" i="20"/>
  <c r="H24" i="20"/>
  <c r="H22" i="20"/>
  <c r="H13" i="20"/>
  <c r="D4" i="20"/>
  <c r="H34" i="19"/>
  <c r="H33" i="19"/>
  <c r="H29" i="19"/>
  <c r="H25" i="19"/>
  <c r="P15" i="19"/>
  <c r="D5" i="19"/>
  <c r="T24" i="17"/>
  <c r="T22" i="17"/>
  <c r="P12" i="17"/>
  <c r="T34" i="16"/>
  <c r="T33" i="16"/>
  <c r="D20" i="23"/>
  <c r="P16" i="23"/>
  <c r="D12" i="23"/>
  <c r="D21" i="22"/>
  <c r="P13" i="22"/>
  <c r="D25" i="20"/>
  <c r="H21" i="20"/>
  <c r="D13" i="20"/>
  <c r="B39" i="19"/>
  <c r="H24" i="19"/>
  <c r="H22" i="19"/>
  <c r="H13" i="19"/>
  <c r="D4" i="19"/>
  <c r="P34" i="17"/>
  <c r="P33" i="17"/>
  <c r="P29" i="17"/>
  <c r="P25" i="17"/>
  <c r="T21" i="17"/>
  <c r="T24" i="16"/>
  <c r="T22" i="16"/>
  <c r="P12" i="16"/>
  <c r="P33" i="23"/>
  <c r="D25" i="23"/>
  <c r="H21" i="23"/>
  <c r="B39" i="22"/>
  <c r="T24" i="22"/>
  <c r="H22" i="22"/>
  <c r="H13" i="22"/>
  <c r="B39" i="20"/>
  <c r="T33" i="20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P24" i="17"/>
  <c r="P22" i="17"/>
  <c r="T20" i="17"/>
  <c r="T16" i="17"/>
  <c r="T13" i="17"/>
  <c r="P34" i="16"/>
  <c r="P33" i="16"/>
  <c r="P29" i="16"/>
  <c r="P25" i="16"/>
  <c r="T21" i="16"/>
  <c r="B25" i="23"/>
  <c r="P22" i="23"/>
  <c r="H16" i="23"/>
  <c r="T13" i="23"/>
  <c r="B38" i="22"/>
  <c r="P34" i="22"/>
  <c r="D33" i="22"/>
  <c r="P29" i="22"/>
  <c r="D13" i="22"/>
  <c r="B38" i="20"/>
  <c r="H29" i="20"/>
  <c r="B22" i="20"/>
  <c r="D21" i="20"/>
  <c r="H15" i="20"/>
  <c r="B25" i="19"/>
  <c r="D24" i="19"/>
  <c r="D22" i="19"/>
  <c r="H20" i="19"/>
  <c r="H16" i="19"/>
  <c r="B13" i="19"/>
  <c r="P21" i="17"/>
  <c r="T15" i="17"/>
  <c r="P13" i="17"/>
  <c r="H12" i="17"/>
  <c r="P24" i="16"/>
  <c r="D21" i="23"/>
  <c r="P13" i="23"/>
  <c r="P24" i="22"/>
  <c r="D22" i="22"/>
  <c r="T20" i="22"/>
  <c r="B13" i="22"/>
  <c r="T34" i="20"/>
  <c r="P33" i="20"/>
  <c r="B21" i="20"/>
  <c r="D20" i="20"/>
  <c r="D16" i="20"/>
  <c r="B22" i="19"/>
  <c r="D21" i="19"/>
  <c r="H15" i="19"/>
  <c r="P20" i="17"/>
  <c r="P16" i="17"/>
  <c r="D12" i="17"/>
  <c r="P21" i="16"/>
  <c r="T15" i="16"/>
  <c r="P13" i="16"/>
  <c r="H12" i="16"/>
  <c r="B21" i="23"/>
  <c r="D16" i="23"/>
  <c r="B22" i="22"/>
  <c r="T15" i="22"/>
  <c r="D29" i="20"/>
  <c r="B16" i="20"/>
  <c r="D15" i="20"/>
  <c r="T12" i="20"/>
  <c r="B21" i="19"/>
  <c r="D20" i="19"/>
  <c r="D16" i="19"/>
  <c r="B38" i="23"/>
  <c r="P34" i="23"/>
  <c r="D33" i="23"/>
  <c r="P29" i="23"/>
  <c r="D13" i="23"/>
  <c r="H24" i="22"/>
  <c r="P12" i="22"/>
  <c r="P34" i="20"/>
  <c r="T25" i="20"/>
  <c r="T24" i="20"/>
  <c r="T22" i="20"/>
  <c r="P12" i="20"/>
  <c r="T34" i="19"/>
  <c r="T33" i="19"/>
  <c r="T29" i="19"/>
  <c r="T25" i="19"/>
  <c r="B16" i="19"/>
  <c r="D15" i="19"/>
  <c r="T12" i="19"/>
  <c r="B39" i="17"/>
  <c r="H24" i="17"/>
  <c r="H22" i="17"/>
  <c r="H13" i="17"/>
  <c r="D4" i="17"/>
  <c r="H34" i="16"/>
  <c r="H33" i="16"/>
  <c r="H29" i="16"/>
  <c r="H25" i="16"/>
  <c r="P15" i="16"/>
  <c r="D5" i="16"/>
  <c r="P24" i="23"/>
  <c r="D22" i="23"/>
  <c r="T20" i="23"/>
  <c r="B13" i="23"/>
  <c r="D34" i="22"/>
  <c r="D29" i="22"/>
  <c r="P25" i="22"/>
  <c r="T21" i="22"/>
  <c r="H33" i="20"/>
  <c r="T21" i="20"/>
  <c r="T24" i="19"/>
  <c r="T22" i="19"/>
  <c r="P12" i="19"/>
  <c r="B38" i="17"/>
  <c r="D34" i="17"/>
  <c r="D33" i="17"/>
  <c r="D29" i="17"/>
  <c r="D25" i="17"/>
  <c r="H21" i="17"/>
  <c r="D13" i="17"/>
  <c r="B39" i="16"/>
  <c r="H24" i="16"/>
  <c r="H22" i="16"/>
  <c r="H13" i="16"/>
  <c r="D4" i="16"/>
  <c r="B22" i="23"/>
  <c r="T15" i="23"/>
  <c r="D24" i="22"/>
  <c r="H20" i="22"/>
  <c r="T16" i="22"/>
  <c r="P25" i="20"/>
  <c r="P24" i="20"/>
  <c r="P22" i="20"/>
  <c r="T20" i="20"/>
  <c r="T16" i="20"/>
  <c r="T13" i="20"/>
  <c r="P34" i="19"/>
  <c r="P33" i="19"/>
  <c r="P29" i="19"/>
  <c r="P25" i="19"/>
  <c r="T21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D5" i="17"/>
  <c r="P22" i="16"/>
  <c r="T13" i="16"/>
  <c r="P20" i="14"/>
  <c r="P16" i="14"/>
  <c r="D12" i="14"/>
  <c r="P21" i="13"/>
  <c r="T15" i="13"/>
  <c r="P13" i="13"/>
  <c r="H12" i="13"/>
  <c r="T29" i="17"/>
  <c r="H34" i="14"/>
  <c r="H33" i="14"/>
  <c r="H29" i="14"/>
  <c r="H25" i="14"/>
  <c r="P15" i="14"/>
  <c r="D5" i="14"/>
  <c r="P20" i="13"/>
  <c r="P16" i="13"/>
  <c r="D12" i="13"/>
  <c r="H29" i="17"/>
  <c r="B39" i="14"/>
  <c r="H24" i="14"/>
  <c r="H22" i="14"/>
  <c r="H13" i="14"/>
  <c r="D4" i="14"/>
  <c r="H34" i="13"/>
  <c r="H33" i="13"/>
  <c r="H29" i="13"/>
  <c r="H25" i="13"/>
  <c r="P15" i="13"/>
  <c r="D5" i="13"/>
  <c r="B25" i="11"/>
  <c r="T12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T16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T25" i="17"/>
  <c r="T25" i="16"/>
  <c r="P16" i="16"/>
  <c r="D12" i="16"/>
  <c r="B22" i="14"/>
  <c r="D21" i="14"/>
  <c r="H15" i="14"/>
  <c r="B25" i="13"/>
  <c r="D24" i="13"/>
  <c r="D22" i="13"/>
  <c r="H20" i="13"/>
  <c r="H16" i="13"/>
  <c r="B13" i="13"/>
  <c r="T34" i="11"/>
  <c r="T33" i="11"/>
  <c r="T29" i="11"/>
  <c r="T25" i="11"/>
  <c r="B16" i="11"/>
  <c r="D15" i="11"/>
  <c r="T12" i="11"/>
  <c r="B21" i="10"/>
  <c r="D20" i="10"/>
  <c r="D16" i="10"/>
  <c r="H25" i="17"/>
  <c r="B21" i="16"/>
  <c r="D16" i="16"/>
  <c r="B21" i="14"/>
  <c r="D20" i="14"/>
  <c r="D16" i="14"/>
  <c r="B22" i="13"/>
  <c r="D21" i="13"/>
  <c r="H15" i="13"/>
  <c r="B16" i="17"/>
  <c r="B16" i="16"/>
  <c r="T34" i="14"/>
  <c r="T33" i="14"/>
  <c r="T29" i="14"/>
  <c r="T25" i="14"/>
  <c r="B16" i="14"/>
  <c r="D15" i="14"/>
  <c r="T12" i="14"/>
  <c r="B21" i="13"/>
  <c r="D20" i="13"/>
  <c r="D16" i="13"/>
  <c r="H34" i="17"/>
  <c r="P15" i="17"/>
  <c r="T20" i="16"/>
  <c r="T24" i="14"/>
  <c r="T22" i="14"/>
  <c r="P12" i="14"/>
  <c r="T34" i="13"/>
  <c r="T33" i="13"/>
  <c r="T29" i="13"/>
  <c r="T25" i="13"/>
  <c r="B16" i="13"/>
  <c r="D15" i="13"/>
  <c r="T12" i="13"/>
  <c r="P24" i="11"/>
  <c r="T33" i="17"/>
  <c r="D15" i="17"/>
  <c r="P20" i="16"/>
  <c r="P34" i="14"/>
  <c r="P33" i="14"/>
  <c r="P29" i="14"/>
  <c r="P25" i="14"/>
  <c r="T21" i="14"/>
  <c r="T24" i="13"/>
  <c r="T22" i="13"/>
  <c r="P12" i="13"/>
  <c r="H33" i="17"/>
  <c r="D20" i="16"/>
  <c r="P24" i="14"/>
  <c r="P22" i="14"/>
  <c r="T20" i="14"/>
  <c r="T16" i="14"/>
  <c r="T13" i="14"/>
  <c r="P34" i="13"/>
  <c r="P33" i="13"/>
  <c r="P29" i="13"/>
  <c r="P25" i="13"/>
  <c r="T21" i="13"/>
  <c r="T12" i="17"/>
  <c r="T29" i="16"/>
  <c r="D15" i="16"/>
  <c r="P21" i="14"/>
  <c r="T15" i="14"/>
  <c r="P13" i="14"/>
  <c r="H12" i="14"/>
  <c r="P24" i="13"/>
  <c r="P22" i="13"/>
  <c r="T20" i="13"/>
  <c r="T16" i="13"/>
  <c r="T13" i="13"/>
  <c r="H34" i="11"/>
  <c r="H33" i="11"/>
  <c r="H29" i="11"/>
  <c r="H25" i="11"/>
  <c r="P15" i="11"/>
  <c r="D5" i="11"/>
  <c r="P20" i="10"/>
  <c r="P16" i="10"/>
  <c r="D12" i="10"/>
  <c r="D24" i="11"/>
  <c r="H33" i="10"/>
  <c r="P24" i="10"/>
  <c r="H21" i="10"/>
  <c r="B38" i="8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T20" i="11"/>
  <c r="H15" i="11"/>
  <c r="P12" i="11"/>
  <c r="P25" i="10"/>
  <c r="H22" i="10"/>
  <c r="T15" i="10"/>
  <c r="H13" i="10"/>
  <c r="B22" i="8"/>
  <c r="D21" i="8"/>
  <c r="H15" i="8"/>
  <c r="B25" i="7"/>
  <c r="D24" i="7"/>
  <c r="D22" i="7"/>
  <c r="H20" i="7"/>
  <c r="H16" i="7"/>
  <c r="B13" i="7"/>
  <c r="P24" i="5"/>
  <c r="P22" i="5"/>
  <c r="T20" i="5"/>
  <c r="T16" i="5"/>
  <c r="T13" i="5"/>
  <c r="P34" i="4"/>
  <c r="P33" i="4"/>
  <c r="P29" i="4"/>
  <c r="P25" i="4"/>
  <c r="T21" i="4"/>
  <c r="T21" i="11"/>
  <c r="H16" i="11"/>
  <c r="H34" i="10"/>
  <c r="D33" i="10"/>
  <c r="D21" i="10"/>
  <c r="T16" i="10"/>
  <c r="P15" i="10"/>
  <c r="D13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33" i="11"/>
  <c r="D25" i="11"/>
  <c r="T22" i="11"/>
  <c r="P20" i="11"/>
  <c r="T29" i="10"/>
  <c r="H24" i="10"/>
  <c r="D22" i="10"/>
  <c r="B13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P21" i="11"/>
  <c r="D16" i="11"/>
  <c r="H12" i="11"/>
  <c r="D34" i="10"/>
  <c r="H25" i="10"/>
  <c r="B22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P22" i="11"/>
  <c r="T13" i="11"/>
  <c r="D12" i="11"/>
  <c r="P29" i="10"/>
  <c r="D24" i="10"/>
  <c r="T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B39" i="11"/>
  <c r="T24" i="11"/>
  <c r="H20" i="11"/>
  <c r="P13" i="11"/>
  <c r="D4" i="11"/>
  <c r="D25" i="10"/>
  <c r="T20" i="10"/>
  <c r="H15" i="10"/>
  <c r="P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B38" i="11"/>
  <c r="P34" i="11"/>
  <c r="D33" i="11"/>
  <c r="P29" i="11"/>
  <c r="H21" i="11"/>
  <c r="B39" i="10"/>
  <c r="T33" i="10"/>
  <c r="B25" i="10"/>
  <c r="T21" i="10"/>
  <c r="H16" i="10"/>
  <c r="D1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H22" i="11"/>
  <c r="D20" i="11"/>
  <c r="T15" i="11"/>
  <c r="H13" i="11"/>
  <c r="B38" i="10"/>
  <c r="H29" i="10"/>
  <c r="T22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D21" i="11"/>
  <c r="T16" i="11"/>
  <c r="D13" i="11"/>
  <c r="T34" i="10"/>
  <c r="P33" i="10"/>
  <c r="P21" i="10"/>
  <c r="B16" i="10"/>
  <c r="H12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H24" i="11"/>
  <c r="D22" i="11"/>
  <c r="B21" i="11"/>
  <c r="B13" i="11"/>
  <c r="D29" i="10"/>
  <c r="T24" i="10"/>
  <c r="P22" i="10"/>
  <c r="T13" i="10"/>
  <c r="D5" i="10"/>
  <c r="H24" i="8"/>
  <c r="H22" i="8"/>
  <c r="H13" i="8"/>
  <c r="D4" i="8"/>
  <c r="H34" i="7"/>
  <c r="H33" i="7"/>
  <c r="H29" i="7"/>
  <c r="H25" i="7"/>
  <c r="P15" i="7"/>
  <c r="D5" i="7"/>
  <c r="T34" i="5"/>
  <c r="T33" i="5"/>
  <c r="T29" i="5"/>
  <c r="T25" i="5"/>
  <c r="B16" i="5"/>
  <c r="D15" i="5"/>
  <c r="T12" i="5"/>
  <c r="B21" i="4"/>
  <c r="D20" i="4"/>
  <c r="D16" i="4"/>
  <c r="D34" i="11"/>
  <c r="D29" i="11"/>
  <c r="P25" i="11"/>
  <c r="B22" i="11"/>
  <c r="P16" i="11"/>
  <c r="P34" i="10"/>
  <c r="T25" i="10"/>
  <c r="H20" i="10"/>
  <c r="P13" i="10"/>
  <c r="D4" i="10"/>
  <c r="B39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V21" i="4" l="1"/>
  <c r="V20" i="4"/>
  <c r="V18" i="4"/>
  <c r="V16" i="4"/>
  <c r="T18" i="4"/>
  <c r="V15" i="4"/>
  <c r="Z12" i="4"/>
  <c r="V36" i="4"/>
  <c r="V34" i="4"/>
  <c r="V33" i="4"/>
  <c r="V31" i="4"/>
  <c r="V29" i="4"/>
  <c r="V27" i="4"/>
  <c r="V25" i="4"/>
  <c r="V24" i="4"/>
  <c r="V22" i="4"/>
  <c r="L15" i="4"/>
  <c r="Z25" i="4"/>
  <c r="Z29" i="4"/>
  <c r="Z33" i="4"/>
  <c r="Z34" i="4"/>
  <c r="R24" i="5"/>
  <c r="R22" i="5"/>
  <c r="R21" i="5"/>
  <c r="R20" i="5"/>
  <c r="R18" i="5"/>
  <c r="R16" i="5"/>
  <c r="P18" i="5"/>
  <c r="R15" i="5"/>
  <c r="X12" i="5"/>
  <c r="R36" i="5"/>
  <c r="R34" i="5"/>
  <c r="R33" i="5"/>
  <c r="R31" i="5"/>
  <c r="R29" i="5"/>
  <c r="R27" i="5"/>
  <c r="R25" i="5"/>
  <c r="Z22" i="5"/>
  <c r="Z24" i="5"/>
  <c r="N13" i="7"/>
  <c r="N22" i="7"/>
  <c r="N24" i="7"/>
  <c r="L13" i="8"/>
  <c r="N21" i="8"/>
  <c r="L25" i="8"/>
  <c r="L29" i="8"/>
  <c r="L33" i="8"/>
  <c r="L34" i="8"/>
  <c r="X13" i="10"/>
  <c r="N20" i="10"/>
  <c r="Z25" i="10"/>
  <c r="X34" i="10"/>
  <c r="X16" i="11"/>
  <c r="X25" i="11"/>
  <c r="L29" i="11"/>
  <c r="L34" i="11"/>
  <c r="L16" i="4"/>
  <c r="L20" i="4"/>
  <c r="V20" i="5"/>
  <c r="V18" i="5"/>
  <c r="V16" i="5"/>
  <c r="T18" i="5"/>
  <c r="V15" i="5"/>
  <c r="Z12" i="5"/>
  <c r="V36" i="5"/>
  <c r="V34" i="5"/>
  <c r="V33" i="5"/>
  <c r="V31" i="5"/>
  <c r="V29" i="5"/>
  <c r="V27" i="5"/>
  <c r="V25" i="5"/>
  <c r="V24" i="5"/>
  <c r="V22" i="5"/>
  <c r="V21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Z13" i="10"/>
  <c r="X22" i="10"/>
  <c r="Z24" i="10"/>
  <c r="L29" i="10"/>
  <c r="L22" i="11"/>
  <c r="N24" i="11"/>
  <c r="N15" i="4"/>
  <c r="L21" i="4"/>
  <c r="L16" i="5"/>
  <c r="L20" i="5"/>
  <c r="F24" i="7"/>
  <c r="F22" i="7"/>
  <c r="F21" i="7"/>
  <c r="F20" i="7"/>
  <c r="F18" i="7"/>
  <c r="F16" i="7"/>
  <c r="D18" i="7"/>
  <c r="F15" i="7"/>
  <c r="L12" i="7"/>
  <c r="F36" i="7"/>
  <c r="F34" i="7"/>
  <c r="F33" i="7"/>
  <c r="F31" i="7"/>
  <c r="F29" i="7"/>
  <c r="F27" i="7"/>
  <c r="F25" i="7"/>
  <c r="X16" i="7"/>
  <c r="X20" i="7"/>
  <c r="X15" i="8"/>
  <c r="N25" i="8"/>
  <c r="N29" i="8"/>
  <c r="N33" i="8"/>
  <c r="N34" i="8"/>
  <c r="J36" i="10"/>
  <c r="J34" i="10"/>
  <c r="J33" i="10"/>
  <c r="J31" i="10"/>
  <c r="J29" i="10"/>
  <c r="J27" i="10"/>
  <c r="J25" i="10"/>
  <c r="J22" i="10"/>
  <c r="J24" i="10"/>
  <c r="J15" i="10"/>
  <c r="J16" i="10"/>
  <c r="N12" i="10"/>
  <c r="J18" i="10"/>
  <c r="H18" i="10"/>
  <c r="J20" i="10"/>
  <c r="J21" i="10"/>
  <c r="X21" i="10"/>
  <c r="X33" i="10"/>
  <c r="Z34" i="10"/>
  <c r="L13" i="11"/>
  <c r="Z16" i="11"/>
  <c r="L21" i="11"/>
  <c r="N16" i="4"/>
  <c r="N20" i="4"/>
  <c r="L22" i="4"/>
  <c r="L24" i="4"/>
  <c r="N15" i="5"/>
  <c r="L21" i="5"/>
  <c r="J20" i="7"/>
  <c r="J18" i="7"/>
  <c r="J16" i="7"/>
  <c r="H18" i="7"/>
  <c r="J15" i="7"/>
  <c r="N12" i="7"/>
  <c r="J36" i="7"/>
  <c r="J34" i="7"/>
  <c r="J33" i="7"/>
  <c r="J31" i="7"/>
  <c r="J29" i="7"/>
  <c r="J27" i="7"/>
  <c r="J25" i="7"/>
  <c r="J24" i="7"/>
  <c r="J22" i="7"/>
  <c r="J21" i="7"/>
  <c r="X13" i="7"/>
  <c r="Z15" i="7"/>
  <c r="X21" i="7"/>
  <c r="F21" i="8"/>
  <c r="F20" i="8"/>
  <c r="F18" i="8"/>
  <c r="F16" i="8"/>
  <c r="D18" i="8"/>
  <c r="F15" i="8"/>
  <c r="L12" i="8"/>
  <c r="F36" i="8"/>
  <c r="F34" i="8"/>
  <c r="F33" i="8"/>
  <c r="F31" i="8"/>
  <c r="F29" i="8"/>
  <c r="F27" i="8"/>
  <c r="F25" i="8"/>
  <c r="F24" i="8"/>
  <c r="F22" i="8"/>
  <c r="X16" i="8"/>
  <c r="X20" i="8"/>
  <c r="Z22" i="10"/>
  <c r="N29" i="10"/>
  <c r="N13" i="11"/>
  <c r="Z15" i="11"/>
  <c r="L20" i="11"/>
  <c r="N22" i="11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H18" i="8"/>
  <c r="J15" i="8"/>
  <c r="N12" i="8"/>
  <c r="J36" i="8"/>
  <c r="J34" i="8"/>
  <c r="J33" i="8"/>
  <c r="J31" i="8"/>
  <c r="J29" i="8"/>
  <c r="J27" i="8"/>
  <c r="J25" i="8"/>
  <c r="J24" i="8"/>
  <c r="J22" i="8"/>
  <c r="J21" i="8"/>
  <c r="J20" i="8"/>
  <c r="J18" i="8"/>
  <c r="J16" i="8"/>
  <c r="X13" i="8"/>
  <c r="Z15" i="8"/>
  <c r="X21" i="8"/>
  <c r="L15" i="10"/>
  <c r="N16" i="10"/>
  <c r="Z21" i="10"/>
  <c r="Z33" i="10"/>
  <c r="N21" i="11"/>
  <c r="X29" i="11"/>
  <c r="L33" i="11"/>
  <c r="X34" i="11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X12" i="10"/>
  <c r="P18" i="10"/>
  <c r="R15" i="10"/>
  <c r="R36" i="10"/>
  <c r="R25" i="10"/>
  <c r="R27" i="10"/>
  <c r="R16" i="10"/>
  <c r="R29" i="10"/>
  <c r="R18" i="10"/>
  <c r="R31" i="10"/>
  <c r="R20" i="10"/>
  <c r="R33" i="10"/>
  <c r="R21" i="10"/>
  <c r="R22" i="10"/>
  <c r="R34" i="10"/>
  <c r="R24" i="10"/>
  <c r="N15" i="10"/>
  <c r="Z20" i="10"/>
  <c r="L25" i="10"/>
  <c r="X13" i="11"/>
  <c r="N20" i="11"/>
  <c r="Z24" i="11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V36" i="10"/>
  <c r="V34" i="10"/>
  <c r="V33" i="10"/>
  <c r="V31" i="10"/>
  <c r="V29" i="10"/>
  <c r="V27" i="10"/>
  <c r="V25" i="10"/>
  <c r="V15" i="10"/>
  <c r="V16" i="10"/>
  <c r="V18" i="10"/>
  <c r="T18" i="10"/>
  <c r="Z12" i="10"/>
  <c r="V20" i="10"/>
  <c r="V21" i="10"/>
  <c r="V22" i="10"/>
  <c r="V24" i="10"/>
  <c r="L24" i="10"/>
  <c r="X29" i="10"/>
  <c r="F36" i="11"/>
  <c r="F31" i="11"/>
  <c r="F25" i="11"/>
  <c r="F15" i="11"/>
  <c r="F16" i="11"/>
  <c r="L12" i="11"/>
  <c r="F18" i="11"/>
  <c r="F33" i="11"/>
  <c r="F27" i="11"/>
  <c r="D18" i="11"/>
  <c r="F20" i="11"/>
  <c r="F21" i="11"/>
  <c r="F22" i="11"/>
  <c r="F34" i="11"/>
  <c r="F29" i="11"/>
  <c r="F24" i="11"/>
  <c r="Z13" i="11"/>
  <c r="X22" i="11"/>
  <c r="L12" i="4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D18" i="4"/>
  <c r="F15" i="4"/>
  <c r="X16" i="4"/>
  <c r="X20" i="4"/>
  <c r="X15" i="5"/>
  <c r="N25" i="5"/>
  <c r="N29" i="5"/>
  <c r="N33" i="5"/>
  <c r="N34" i="5"/>
  <c r="Z12" i="7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Z22" i="8"/>
  <c r="Z24" i="8"/>
  <c r="N25" i="10"/>
  <c r="L34" i="10"/>
  <c r="J24" i="11"/>
  <c r="J22" i="11"/>
  <c r="J15" i="11"/>
  <c r="J36" i="11"/>
  <c r="J31" i="11"/>
  <c r="J25" i="11"/>
  <c r="J16" i="11"/>
  <c r="N12" i="11"/>
  <c r="J18" i="11"/>
  <c r="H18" i="11"/>
  <c r="J33" i="11"/>
  <c r="J27" i="11"/>
  <c r="J20" i="11"/>
  <c r="J21" i="11"/>
  <c r="J34" i="11"/>
  <c r="J29" i="11"/>
  <c r="L16" i="11"/>
  <c r="X21" i="11"/>
  <c r="N12" i="4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X13" i="4"/>
  <c r="Z15" i="4"/>
  <c r="X21" i="4"/>
  <c r="L12" i="5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X16" i="5"/>
  <c r="X20" i="5"/>
  <c r="L16" i="7"/>
  <c r="L20" i="7"/>
  <c r="V36" i="8"/>
  <c r="Z12" i="8"/>
  <c r="V34" i="8"/>
  <c r="V33" i="8"/>
  <c r="V31" i="8"/>
  <c r="V29" i="8"/>
  <c r="V27" i="8"/>
  <c r="V25" i="8"/>
  <c r="V24" i="8"/>
  <c r="V22" i="8"/>
  <c r="V21" i="8"/>
  <c r="V20" i="8"/>
  <c r="V18" i="8"/>
  <c r="V16" i="8"/>
  <c r="T18" i="8"/>
  <c r="V15" i="8"/>
  <c r="L15" i="8"/>
  <c r="Z25" i="8"/>
  <c r="Z29" i="8"/>
  <c r="Z33" i="8"/>
  <c r="Z34" i="8"/>
  <c r="L22" i="10"/>
  <c r="N24" i="10"/>
  <c r="Z29" i="10"/>
  <c r="X20" i="11"/>
  <c r="Z22" i="11"/>
  <c r="L25" i="11"/>
  <c r="X33" i="11"/>
  <c r="Z13" i="4"/>
  <c r="Z16" i="4"/>
  <c r="Z20" i="4"/>
  <c r="X22" i="4"/>
  <c r="X24" i="4"/>
  <c r="N12" i="5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X13" i="5"/>
  <c r="Z15" i="5"/>
  <c r="X21" i="5"/>
  <c r="N15" i="7"/>
  <c r="L21" i="7"/>
  <c r="L16" i="8"/>
  <c r="L20" i="8"/>
  <c r="L13" i="10"/>
  <c r="X15" i="10"/>
  <c r="Z16" i="10"/>
  <c r="L21" i="10"/>
  <c r="L33" i="10"/>
  <c r="N34" i="10"/>
  <c r="N16" i="11"/>
  <c r="Z21" i="11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3" i="10"/>
  <c r="Z15" i="10"/>
  <c r="N22" i="10"/>
  <c r="X25" i="10"/>
  <c r="R18" i="11"/>
  <c r="X12" i="11"/>
  <c r="P18" i="11"/>
  <c r="R33" i="11"/>
  <c r="R27" i="11"/>
  <c r="R20" i="11"/>
  <c r="R21" i="11"/>
  <c r="R22" i="11"/>
  <c r="R34" i="11"/>
  <c r="R29" i="11"/>
  <c r="R24" i="11"/>
  <c r="R15" i="11"/>
  <c r="R36" i="11"/>
  <c r="R31" i="11"/>
  <c r="R25" i="11"/>
  <c r="R16" i="11"/>
  <c r="N15" i="11"/>
  <c r="Z20" i="11"/>
  <c r="R36" i="4"/>
  <c r="R34" i="4"/>
  <c r="R33" i="4"/>
  <c r="R31" i="4"/>
  <c r="R29" i="4"/>
  <c r="R27" i="4"/>
  <c r="R25" i="4"/>
  <c r="R24" i="4"/>
  <c r="R22" i="4"/>
  <c r="R21" i="4"/>
  <c r="R20" i="4"/>
  <c r="R18" i="4"/>
  <c r="R16" i="4"/>
  <c r="P18" i="4"/>
  <c r="R15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N21" i="10"/>
  <c r="X24" i="10"/>
  <c r="N33" i="10"/>
  <c r="L24" i="11"/>
  <c r="D18" i="10"/>
  <c r="F15" i="10"/>
  <c r="F20" i="10"/>
  <c r="F33" i="10"/>
  <c r="F21" i="10"/>
  <c r="F22" i="10"/>
  <c r="F34" i="10"/>
  <c r="F24" i="10"/>
  <c r="F36" i="10"/>
  <c r="F25" i="10"/>
  <c r="F27" i="10"/>
  <c r="F16" i="10"/>
  <c r="L12" i="10"/>
  <c r="F29" i="10"/>
  <c r="F18" i="10"/>
  <c r="F31" i="10"/>
  <c r="X16" i="10"/>
  <c r="X20" i="10"/>
  <c r="X15" i="11"/>
  <c r="N25" i="11"/>
  <c r="N29" i="11"/>
  <c r="N33" i="11"/>
  <c r="N34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20" i="14"/>
  <c r="J18" i="14"/>
  <c r="J16" i="14"/>
  <c r="H18" i="14"/>
  <c r="J15" i="14"/>
  <c r="N12" i="14"/>
  <c r="X13" i="14"/>
  <c r="Z15" i="14"/>
  <c r="X21" i="14"/>
  <c r="L15" i="16"/>
  <c r="Z29" i="16"/>
  <c r="Z12" i="17"/>
  <c r="V36" i="17"/>
  <c r="V34" i="17"/>
  <c r="V33" i="17"/>
  <c r="V31" i="17"/>
  <c r="V29" i="17"/>
  <c r="V27" i="17"/>
  <c r="V25" i="17"/>
  <c r="V21" i="17"/>
  <c r="V20" i="17"/>
  <c r="V18" i="17"/>
  <c r="V16" i="17"/>
  <c r="T18" i="17"/>
  <c r="V15" i="17"/>
  <c r="V24" i="17"/>
  <c r="V22" i="17"/>
  <c r="Z21" i="13"/>
  <c r="X25" i="13"/>
  <c r="X29" i="13"/>
  <c r="X33" i="13"/>
  <c r="X34" i="13"/>
  <c r="Z13" i="14"/>
  <c r="Z16" i="14"/>
  <c r="Z20" i="14"/>
  <c r="X22" i="14"/>
  <c r="X24" i="14"/>
  <c r="L20" i="16"/>
  <c r="N33" i="17"/>
  <c r="R20" i="13"/>
  <c r="R18" i="13"/>
  <c r="R16" i="13"/>
  <c r="P18" i="13"/>
  <c r="R15" i="13"/>
  <c r="X12" i="13"/>
  <c r="R36" i="13"/>
  <c r="R34" i="13"/>
  <c r="R33" i="13"/>
  <c r="R31" i="13"/>
  <c r="R29" i="13"/>
  <c r="R27" i="13"/>
  <c r="R25" i="13"/>
  <c r="R24" i="13"/>
  <c r="R22" i="13"/>
  <c r="R21" i="13"/>
  <c r="Z22" i="13"/>
  <c r="Z24" i="13"/>
  <c r="Z21" i="14"/>
  <c r="X25" i="14"/>
  <c r="X29" i="14"/>
  <c r="X33" i="14"/>
  <c r="X34" i="14"/>
  <c r="X20" i="16"/>
  <c r="L15" i="17"/>
  <c r="Z33" i="17"/>
  <c r="X24" i="11"/>
  <c r="Z12" i="13"/>
  <c r="V36" i="13"/>
  <c r="V34" i="13"/>
  <c r="V33" i="13"/>
  <c r="V31" i="13"/>
  <c r="V29" i="13"/>
  <c r="V27" i="13"/>
  <c r="V25" i="13"/>
  <c r="V24" i="13"/>
  <c r="V22" i="13"/>
  <c r="V21" i="13"/>
  <c r="V20" i="13"/>
  <c r="V18" i="13"/>
  <c r="V16" i="13"/>
  <c r="T18" i="13"/>
  <c r="V15" i="13"/>
  <c r="L15" i="13"/>
  <c r="Z25" i="13"/>
  <c r="Z29" i="13"/>
  <c r="Z33" i="13"/>
  <c r="Z34" i="13"/>
  <c r="P18" i="14"/>
  <c r="R15" i="14"/>
  <c r="X12" i="14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Z22" i="14"/>
  <c r="Z24" i="14"/>
  <c r="Z20" i="16"/>
  <c r="X15" i="17"/>
  <c r="N34" i="17"/>
  <c r="L16" i="13"/>
  <c r="L20" i="13"/>
  <c r="Z12" i="14"/>
  <c r="V36" i="14"/>
  <c r="V34" i="14"/>
  <c r="V33" i="14"/>
  <c r="V31" i="14"/>
  <c r="V29" i="14"/>
  <c r="V27" i="14"/>
  <c r="V25" i="14"/>
  <c r="V24" i="14"/>
  <c r="V22" i="14"/>
  <c r="V21" i="14"/>
  <c r="V20" i="14"/>
  <c r="V18" i="14"/>
  <c r="V16" i="14"/>
  <c r="T18" i="14"/>
  <c r="V15" i="14"/>
  <c r="L15" i="14"/>
  <c r="Z25" i="14"/>
  <c r="Z29" i="14"/>
  <c r="Z33" i="14"/>
  <c r="Z34" i="14"/>
  <c r="N15" i="13"/>
  <c r="L21" i="13"/>
  <c r="L16" i="14"/>
  <c r="L20" i="14"/>
  <c r="L16" i="16"/>
  <c r="N25" i="17"/>
  <c r="L16" i="10"/>
  <c r="L20" i="10"/>
  <c r="V24" i="11"/>
  <c r="V22" i="11"/>
  <c r="V20" i="11"/>
  <c r="V33" i="11"/>
  <c r="V27" i="11"/>
  <c r="V21" i="11"/>
  <c r="V34" i="11"/>
  <c r="V29" i="11"/>
  <c r="V15" i="11"/>
  <c r="V16" i="11"/>
  <c r="V36" i="11"/>
  <c r="V31" i="11"/>
  <c r="V25" i="11"/>
  <c r="V18" i="11"/>
  <c r="T18" i="11"/>
  <c r="Z12" i="11"/>
  <c r="L15" i="11"/>
  <c r="Z25" i="11"/>
  <c r="Z29" i="11"/>
  <c r="Z33" i="11"/>
  <c r="Z34" i="11"/>
  <c r="N16" i="13"/>
  <c r="N20" i="13"/>
  <c r="L22" i="13"/>
  <c r="L24" i="13"/>
  <c r="N15" i="14"/>
  <c r="L21" i="14"/>
  <c r="F21" i="16"/>
  <c r="F20" i="16"/>
  <c r="F18" i="16"/>
  <c r="F16" i="16"/>
  <c r="F36" i="16"/>
  <c r="F34" i="16"/>
  <c r="F33" i="16"/>
  <c r="F31" i="16"/>
  <c r="F29" i="16"/>
  <c r="F27" i="16"/>
  <c r="F25" i="16"/>
  <c r="F24" i="16"/>
  <c r="F22" i="16"/>
  <c r="D18" i="16"/>
  <c r="L12" i="16"/>
  <c r="F15" i="16"/>
  <c r="X16" i="16"/>
  <c r="Z25" i="16"/>
  <c r="Z25" i="17"/>
  <c r="L13" i="13"/>
  <c r="N21" i="13"/>
  <c r="L25" i="13"/>
  <c r="L29" i="13"/>
  <c r="L33" i="13"/>
  <c r="L34" i="13"/>
  <c r="N16" i="14"/>
  <c r="N20" i="14"/>
  <c r="L22" i="14"/>
  <c r="L24" i="14"/>
  <c r="Z16" i="16"/>
  <c r="N13" i="13"/>
  <c r="N22" i="13"/>
  <c r="N24" i="13"/>
  <c r="L13" i="14"/>
  <c r="N21" i="14"/>
  <c r="L25" i="14"/>
  <c r="L29" i="14"/>
  <c r="L33" i="14"/>
  <c r="L34" i="14"/>
  <c r="Z12" i="16"/>
  <c r="V21" i="16"/>
  <c r="V20" i="16"/>
  <c r="V18" i="16"/>
  <c r="V16" i="16"/>
  <c r="T18" i="16"/>
  <c r="V36" i="16"/>
  <c r="V27" i="16"/>
  <c r="V34" i="16"/>
  <c r="V25" i="16"/>
  <c r="V33" i="16"/>
  <c r="V31" i="16"/>
  <c r="V24" i="16"/>
  <c r="V15" i="16"/>
  <c r="V29" i="16"/>
  <c r="V22" i="16"/>
  <c r="X15" i="13"/>
  <c r="N25" i="13"/>
  <c r="N29" i="13"/>
  <c r="N33" i="13"/>
  <c r="N34" i="13"/>
  <c r="N13" i="14"/>
  <c r="N22" i="14"/>
  <c r="N24" i="14"/>
  <c r="N29" i="17"/>
  <c r="F36" i="13"/>
  <c r="F34" i="13"/>
  <c r="F33" i="13"/>
  <c r="F31" i="13"/>
  <c r="F29" i="13"/>
  <c r="F27" i="13"/>
  <c r="F25" i="13"/>
  <c r="F24" i="13"/>
  <c r="F22" i="13"/>
  <c r="F21" i="13"/>
  <c r="F20" i="13"/>
  <c r="F18" i="13"/>
  <c r="F16" i="13"/>
  <c r="D18" i="13"/>
  <c r="F15" i="13"/>
  <c r="L12" i="13"/>
  <c r="X16" i="13"/>
  <c r="X20" i="13"/>
  <c r="X15" i="14"/>
  <c r="N25" i="14"/>
  <c r="N29" i="14"/>
  <c r="N33" i="14"/>
  <c r="N34" i="14"/>
  <c r="Z29" i="17"/>
  <c r="J36" i="13"/>
  <c r="J34" i="13"/>
  <c r="J33" i="13"/>
  <c r="J31" i="13"/>
  <c r="J29" i="13"/>
  <c r="J27" i="13"/>
  <c r="J25" i="13"/>
  <c r="J24" i="13"/>
  <c r="J22" i="13"/>
  <c r="J21" i="13"/>
  <c r="J20" i="13"/>
  <c r="J18" i="13"/>
  <c r="J16" i="13"/>
  <c r="H18" i="13"/>
  <c r="J15" i="13"/>
  <c r="N12" i="13"/>
  <c r="X13" i="13"/>
  <c r="Z15" i="13"/>
  <c r="X21" i="13"/>
  <c r="F36" i="14"/>
  <c r="F34" i="14"/>
  <c r="F33" i="14"/>
  <c r="F31" i="14"/>
  <c r="F29" i="14"/>
  <c r="F27" i="14"/>
  <c r="F25" i="14"/>
  <c r="F24" i="14"/>
  <c r="F22" i="14"/>
  <c r="F21" i="14"/>
  <c r="F20" i="14"/>
  <c r="F18" i="14"/>
  <c r="F16" i="14"/>
  <c r="D18" i="14"/>
  <c r="F15" i="14"/>
  <c r="L12" i="14"/>
  <c r="X16" i="14"/>
  <c r="X20" i="14"/>
  <c r="Z13" i="16"/>
  <c r="X22" i="16"/>
  <c r="L13" i="16"/>
  <c r="N21" i="16"/>
  <c r="L25" i="16"/>
  <c r="L29" i="16"/>
  <c r="L33" i="16"/>
  <c r="L34" i="16"/>
  <c r="N16" i="17"/>
  <c r="N20" i="17"/>
  <c r="L22" i="17"/>
  <c r="L24" i="17"/>
  <c r="Z21" i="19"/>
  <c r="X25" i="19"/>
  <c r="X29" i="19"/>
  <c r="X33" i="19"/>
  <c r="X34" i="19"/>
  <c r="Z13" i="20"/>
  <c r="Z16" i="20"/>
  <c r="Z20" i="20"/>
  <c r="X22" i="20"/>
  <c r="X24" i="20"/>
  <c r="X25" i="20"/>
  <c r="Z16" i="22"/>
  <c r="N20" i="22"/>
  <c r="L24" i="22"/>
  <c r="Z15" i="23"/>
  <c r="N13" i="16"/>
  <c r="N22" i="16"/>
  <c r="N24" i="16"/>
  <c r="L13" i="17"/>
  <c r="N21" i="17"/>
  <c r="L25" i="17"/>
  <c r="L29" i="17"/>
  <c r="L33" i="17"/>
  <c r="L34" i="17"/>
  <c r="R21" i="19"/>
  <c r="R20" i="19"/>
  <c r="R18" i="19"/>
  <c r="R16" i="19"/>
  <c r="P18" i="19"/>
  <c r="R15" i="19"/>
  <c r="X12" i="19"/>
  <c r="R36" i="19"/>
  <c r="R34" i="19"/>
  <c r="R33" i="19"/>
  <c r="R31" i="19"/>
  <c r="R29" i="19"/>
  <c r="R27" i="19"/>
  <c r="R25" i="19"/>
  <c r="R24" i="19"/>
  <c r="R22" i="19"/>
  <c r="Z22" i="19"/>
  <c r="Z24" i="19"/>
  <c r="Z21" i="20"/>
  <c r="N33" i="20"/>
  <c r="Z21" i="22"/>
  <c r="X25" i="22"/>
  <c r="L29" i="22"/>
  <c r="L34" i="22"/>
  <c r="Z20" i="23"/>
  <c r="L22" i="23"/>
  <c r="X24" i="23"/>
  <c r="X15" i="16"/>
  <c r="N25" i="16"/>
  <c r="N29" i="16"/>
  <c r="N33" i="16"/>
  <c r="N34" i="16"/>
  <c r="N13" i="17"/>
  <c r="N22" i="17"/>
  <c r="N24" i="17"/>
  <c r="T18" i="19"/>
  <c r="V15" i="19"/>
  <c r="Z12" i="19"/>
  <c r="V36" i="19"/>
  <c r="V34" i="19"/>
  <c r="V33" i="19"/>
  <c r="V31" i="19"/>
  <c r="V29" i="19"/>
  <c r="V27" i="19"/>
  <c r="V25" i="19"/>
  <c r="V24" i="19"/>
  <c r="V22" i="19"/>
  <c r="V21" i="19"/>
  <c r="V20" i="19"/>
  <c r="V18" i="19"/>
  <c r="V16" i="19"/>
  <c r="L15" i="19"/>
  <c r="Z25" i="19"/>
  <c r="Z29" i="19"/>
  <c r="Z33" i="19"/>
  <c r="Z34" i="19"/>
  <c r="R27" i="20"/>
  <c r="R20" i="20"/>
  <c r="R18" i="20"/>
  <c r="R16" i="20"/>
  <c r="P18" i="20"/>
  <c r="R15" i="20"/>
  <c r="R29" i="20"/>
  <c r="R31" i="20"/>
  <c r="R33" i="20"/>
  <c r="X12" i="20"/>
  <c r="R34" i="20"/>
  <c r="R36" i="20"/>
  <c r="R25" i="20"/>
  <c r="R24" i="20"/>
  <c r="R22" i="20"/>
  <c r="R21" i="20"/>
  <c r="Z22" i="20"/>
  <c r="Z24" i="20"/>
  <c r="Z25" i="20"/>
  <c r="X34" i="20"/>
  <c r="X12" i="22"/>
  <c r="P18" i="22"/>
  <c r="R15" i="22"/>
  <c r="R16" i="22"/>
  <c r="R33" i="22"/>
  <c r="R27" i="22"/>
  <c r="R22" i="22"/>
  <c r="R18" i="22"/>
  <c r="R34" i="22"/>
  <c r="R29" i="22"/>
  <c r="R24" i="22"/>
  <c r="R20" i="22"/>
  <c r="R36" i="22"/>
  <c r="R31" i="22"/>
  <c r="R25" i="22"/>
  <c r="R21" i="22"/>
  <c r="N24" i="22"/>
  <c r="L13" i="23"/>
  <c r="X29" i="23"/>
  <c r="L33" i="23"/>
  <c r="X34" i="23"/>
  <c r="L16" i="19"/>
  <c r="L20" i="19"/>
  <c r="V29" i="20"/>
  <c r="V31" i="20"/>
  <c r="V33" i="20"/>
  <c r="V34" i="20"/>
  <c r="Z12" i="20"/>
  <c r="V36" i="20"/>
  <c r="V25" i="20"/>
  <c r="V24" i="20"/>
  <c r="V22" i="20"/>
  <c r="V21" i="20"/>
  <c r="V27" i="20"/>
  <c r="V20" i="20"/>
  <c r="V18" i="20"/>
  <c r="V16" i="20"/>
  <c r="T18" i="20"/>
  <c r="V15" i="20"/>
  <c r="L15" i="20"/>
  <c r="L29" i="20"/>
  <c r="Z15" i="22"/>
  <c r="L16" i="23"/>
  <c r="H18" i="16"/>
  <c r="J15" i="16"/>
  <c r="N12" i="16"/>
  <c r="J24" i="16"/>
  <c r="J22" i="16"/>
  <c r="J21" i="16"/>
  <c r="J20" i="16"/>
  <c r="J18" i="16"/>
  <c r="J16" i="16"/>
  <c r="J29" i="16"/>
  <c r="J36" i="16"/>
  <c r="J27" i="16"/>
  <c r="J34" i="16"/>
  <c r="J33" i="16"/>
  <c r="J25" i="16"/>
  <c r="J31" i="16"/>
  <c r="X13" i="16"/>
  <c r="Z15" i="16"/>
  <c r="X21" i="16"/>
  <c r="F20" i="17"/>
  <c r="F18" i="17"/>
  <c r="F16" i="17"/>
  <c r="D18" i="17"/>
  <c r="F15" i="17"/>
  <c r="L12" i="17"/>
  <c r="F36" i="17"/>
  <c r="F34" i="17"/>
  <c r="F33" i="17"/>
  <c r="F31" i="17"/>
  <c r="F29" i="17"/>
  <c r="F27" i="17"/>
  <c r="F25" i="17"/>
  <c r="F24" i="17"/>
  <c r="F22" i="17"/>
  <c r="F21" i="17"/>
  <c r="X16" i="17"/>
  <c r="X20" i="17"/>
  <c r="N15" i="19"/>
  <c r="L21" i="19"/>
  <c r="L16" i="20"/>
  <c r="L20" i="20"/>
  <c r="X33" i="20"/>
  <c r="Z34" i="20"/>
  <c r="Z20" i="22"/>
  <c r="L22" i="22"/>
  <c r="X24" i="22"/>
  <c r="X13" i="23"/>
  <c r="L21" i="23"/>
  <c r="X24" i="16"/>
  <c r="N12" i="17"/>
  <c r="J36" i="17"/>
  <c r="J34" i="17"/>
  <c r="J33" i="17"/>
  <c r="J31" i="17"/>
  <c r="J29" i="17"/>
  <c r="J27" i="17"/>
  <c r="J25" i="17"/>
  <c r="J21" i="17"/>
  <c r="J20" i="17"/>
  <c r="J18" i="17"/>
  <c r="J16" i="17"/>
  <c r="H18" i="17"/>
  <c r="J15" i="17"/>
  <c r="J24" i="17"/>
  <c r="J22" i="17"/>
  <c r="X13" i="17"/>
  <c r="Z15" i="17"/>
  <c r="X21" i="17"/>
  <c r="N16" i="19"/>
  <c r="N20" i="19"/>
  <c r="L22" i="19"/>
  <c r="L24" i="19"/>
  <c r="N15" i="20"/>
  <c r="L21" i="20"/>
  <c r="N29" i="20"/>
  <c r="L13" i="22"/>
  <c r="X29" i="22"/>
  <c r="L33" i="22"/>
  <c r="X34" i="22"/>
  <c r="Z13" i="23"/>
  <c r="N16" i="23"/>
  <c r="X22" i="23"/>
  <c r="Z21" i="16"/>
  <c r="X25" i="16"/>
  <c r="X29" i="16"/>
  <c r="X33" i="16"/>
  <c r="X34" i="16"/>
  <c r="Z13" i="17"/>
  <c r="Z16" i="17"/>
  <c r="Z20" i="17"/>
  <c r="X22" i="17"/>
  <c r="X24" i="17"/>
  <c r="L13" i="19"/>
  <c r="N21" i="19"/>
  <c r="L25" i="19"/>
  <c r="L29" i="19"/>
  <c r="L33" i="19"/>
  <c r="L34" i="19"/>
  <c r="N16" i="20"/>
  <c r="N20" i="20"/>
  <c r="L22" i="20"/>
  <c r="L24" i="20"/>
  <c r="Z33" i="20"/>
  <c r="N13" i="22"/>
  <c r="N22" i="22"/>
  <c r="Z24" i="22"/>
  <c r="N21" i="23"/>
  <c r="L25" i="23"/>
  <c r="X33" i="23"/>
  <c r="R36" i="16"/>
  <c r="R34" i="16"/>
  <c r="R33" i="16"/>
  <c r="R31" i="16"/>
  <c r="R29" i="16"/>
  <c r="R27" i="16"/>
  <c r="R25" i="16"/>
  <c r="R24" i="16"/>
  <c r="R22" i="16"/>
  <c r="R20" i="16"/>
  <c r="R18" i="16"/>
  <c r="R16" i="16"/>
  <c r="P18" i="16"/>
  <c r="X12" i="16"/>
  <c r="R21" i="16"/>
  <c r="R15" i="16"/>
  <c r="Z22" i="16"/>
  <c r="Z24" i="16"/>
  <c r="Z21" i="17"/>
  <c r="X25" i="17"/>
  <c r="X29" i="17"/>
  <c r="X33" i="17"/>
  <c r="X34" i="17"/>
  <c r="N13" i="19"/>
  <c r="N22" i="19"/>
  <c r="N24" i="19"/>
  <c r="L13" i="20"/>
  <c r="N21" i="20"/>
  <c r="L25" i="20"/>
  <c r="X13" i="22"/>
  <c r="L21" i="22"/>
  <c r="F36" i="23"/>
  <c r="F34" i="23"/>
  <c r="F33" i="23"/>
  <c r="F31" i="23"/>
  <c r="F29" i="23"/>
  <c r="F27" i="23"/>
  <c r="F25" i="23"/>
  <c r="D18" i="23"/>
  <c r="F24" i="23"/>
  <c r="L12" i="23"/>
  <c r="F20" i="23"/>
  <c r="F15" i="23"/>
  <c r="F21" i="23"/>
  <c r="F16" i="23"/>
  <c r="F22" i="23"/>
  <c r="F18" i="23"/>
  <c r="X16" i="23"/>
  <c r="L20" i="23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R16" i="17"/>
  <c r="P18" i="17"/>
  <c r="R15" i="17"/>
  <c r="Z22" i="17"/>
  <c r="Z24" i="17"/>
  <c r="X15" i="19"/>
  <c r="N25" i="19"/>
  <c r="N29" i="19"/>
  <c r="N33" i="19"/>
  <c r="N34" i="19"/>
  <c r="N13" i="20"/>
  <c r="N22" i="20"/>
  <c r="N24" i="20"/>
  <c r="X29" i="20"/>
  <c r="Z13" i="22"/>
  <c r="N16" i="22"/>
  <c r="X22" i="22"/>
  <c r="J21" i="23"/>
  <c r="J24" i="23"/>
  <c r="J22" i="23"/>
  <c r="J34" i="23"/>
  <c r="J29" i="23"/>
  <c r="J20" i="23"/>
  <c r="N12" i="23"/>
  <c r="J15" i="23"/>
  <c r="J36" i="23"/>
  <c r="J31" i="23"/>
  <c r="J25" i="23"/>
  <c r="J16" i="23"/>
  <c r="J33" i="23"/>
  <c r="J27" i="23"/>
  <c r="J18" i="23"/>
  <c r="H18" i="23"/>
  <c r="N15" i="23"/>
  <c r="X21" i="23"/>
  <c r="Z34" i="17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L34" i="20"/>
  <c r="N21" i="22"/>
  <c r="L25" i="22"/>
  <c r="X33" i="22"/>
  <c r="Z16" i="23"/>
  <c r="N20" i="23"/>
  <c r="L24" i="23"/>
  <c r="N15" i="16"/>
  <c r="L21" i="16"/>
  <c r="L16" i="17"/>
  <c r="L20" i="17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4" i="20"/>
  <c r="F36" i="20"/>
  <c r="F25" i="20"/>
  <c r="F24" i="20"/>
  <c r="F22" i="20"/>
  <c r="F27" i="20"/>
  <c r="F21" i="20"/>
  <c r="F20" i="20"/>
  <c r="F18" i="20"/>
  <c r="F16" i="20"/>
  <c r="F29" i="20"/>
  <c r="D18" i="20"/>
  <c r="F15" i="20"/>
  <c r="F31" i="20"/>
  <c r="F33" i="20"/>
  <c r="L12" i="20"/>
  <c r="X16" i="20"/>
  <c r="X20" i="20"/>
  <c r="Z29" i="20"/>
  <c r="Z22" i="22"/>
  <c r="Z21" i="23"/>
  <c r="X25" i="23"/>
  <c r="L29" i="23"/>
  <c r="L34" i="23"/>
  <c r="N16" i="16"/>
  <c r="N20" i="16"/>
  <c r="L22" i="16"/>
  <c r="L24" i="16"/>
  <c r="N15" i="17"/>
  <c r="L21" i="17"/>
  <c r="Z13" i="19"/>
  <c r="Z16" i="19"/>
  <c r="Z20" i="19"/>
  <c r="X22" i="19"/>
  <c r="X24" i="19"/>
  <c r="J36" i="20"/>
  <c r="J25" i="20"/>
  <c r="J24" i="20"/>
  <c r="J22" i="20"/>
  <c r="J27" i="20"/>
  <c r="J21" i="20"/>
  <c r="J20" i="20"/>
  <c r="J18" i="20"/>
  <c r="J16" i="20"/>
  <c r="J29" i="20"/>
  <c r="H18" i="20"/>
  <c r="J15" i="20"/>
  <c r="J31" i="20"/>
  <c r="J33" i="20"/>
  <c r="N12" i="20"/>
  <c r="J34" i="20"/>
  <c r="X13" i="20"/>
  <c r="Z15" i="20"/>
  <c r="X21" i="20"/>
  <c r="L33" i="20"/>
  <c r="N34" i="20"/>
  <c r="J24" i="22"/>
  <c r="J22" i="22"/>
  <c r="J36" i="22"/>
  <c r="J34" i="22"/>
  <c r="J33" i="22"/>
  <c r="J31" i="22"/>
  <c r="J29" i="22"/>
  <c r="J27" i="22"/>
  <c r="J25" i="22"/>
  <c r="J21" i="22"/>
  <c r="J16" i="22"/>
  <c r="J18" i="22"/>
  <c r="H18" i="22"/>
  <c r="J20" i="22"/>
  <c r="N12" i="22"/>
  <c r="J15" i="22"/>
  <c r="N15" i="22"/>
  <c r="X21" i="22"/>
  <c r="X20" i="23"/>
  <c r="D18" i="22"/>
  <c r="F15" i="22"/>
  <c r="F20" i="22"/>
  <c r="F36" i="22"/>
  <c r="F31" i="22"/>
  <c r="F25" i="22"/>
  <c r="F21" i="22"/>
  <c r="F16" i="22"/>
  <c r="F33" i="22"/>
  <c r="F27" i="22"/>
  <c r="F22" i="22"/>
  <c r="F18" i="22"/>
  <c r="F34" i="22"/>
  <c r="F29" i="22"/>
  <c r="F24" i="22"/>
  <c r="L12" i="22"/>
  <c r="X16" i="22"/>
  <c r="X20" i="22"/>
  <c r="X15" i="23"/>
  <c r="N25" i="23"/>
  <c r="N29" i="23"/>
  <c r="N33" i="23"/>
  <c r="N34" i="23"/>
  <c r="R24" i="25"/>
  <c r="R22" i="25"/>
  <c r="R21" i="25"/>
  <c r="R20" i="25"/>
  <c r="R18" i="25"/>
  <c r="R16" i="25"/>
  <c r="P18" i="25"/>
  <c r="R15" i="25"/>
  <c r="X12" i="25"/>
  <c r="R36" i="25"/>
  <c r="R34" i="25"/>
  <c r="R33" i="25"/>
  <c r="R31" i="25"/>
  <c r="R29" i="25"/>
  <c r="R27" i="25"/>
  <c r="R25" i="25"/>
  <c r="Z22" i="25"/>
  <c r="Z24" i="25"/>
  <c r="Z21" i="26"/>
  <c r="X25" i="26"/>
  <c r="X29" i="26"/>
  <c r="X33" i="26"/>
  <c r="X34" i="26"/>
  <c r="L13" i="28"/>
  <c r="N21" i="28"/>
  <c r="L25" i="28"/>
  <c r="L29" i="28"/>
  <c r="L33" i="28"/>
  <c r="L34" i="28"/>
  <c r="N16" i="29"/>
  <c r="N20" i="29"/>
  <c r="L22" i="29"/>
  <c r="L24" i="29"/>
  <c r="N15" i="31"/>
  <c r="L21" i="31"/>
  <c r="Z13" i="32"/>
  <c r="Z21" i="32"/>
  <c r="V20" i="25"/>
  <c r="V18" i="25"/>
  <c r="V16" i="25"/>
  <c r="T18" i="25"/>
  <c r="V15" i="25"/>
  <c r="Z12" i="25"/>
  <c r="V36" i="25"/>
  <c r="V34" i="25"/>
  <c r="V33" i="25"/>
  <c r="V31" i="25"/>
  <c r="V29" i="25"/>
  <c r="V27" i="25"/>
  <c r="V25" i="25"/>
  <c r="V24" i="25"/>
  <c r="V22" i="25"/>
  <c r="V21" i="25"/>
  <c r="L15" i="25"/>
  <c r="Z25" i="25"/>
  <c r="Z29" i="25"/>
  <c r="Z33" i="25"/>
  <c r="Z34" i="25"/>
  <c r="R21" i="26"/>
  <c r="R20" i="26"/>
  <c r="R18" i="26"/>
  <c r="R16" i="26"/>
  <c r="P18" i="26"/>
  <c r="R15" i="26"/>
  <c r="X12" i="26"/>
  <c r="R36" i="26"/>
  <c r="R34" i="26"/>
  <c r="R33" i="26"/>
  <c r="R31" i="26"/>
  <c r="R29" i="26"/>
  <c r="R27" i="26"/>
  <c r="R25" i="26"/>
  <c r="R24" i="26"/>
  <c r="R22" i="26"/>
  <c r="Z22" i="26"/>
  <c r="Z24" i="26"/>
  <c r="N13" i="28"/>
  <c r="N22" i="28"/>
  <c r="N24" i="28"/>
  <c r="L13" i="29"/>
  <c r="N21" i="29"/>
  <c r="L25" i="29"/>
  <c r="L29" i="29"/>
  <c r="L33" i="29"/>
  <c r="L34" i="29"/>
  <c r="J36" i="31"/>
  <c r="J34" i="31"/>
  <c r="J33" i="31"/>
  <c r="J31" i="31"/>
  <c r="J29" i="31"/>
  <c r="J27" i="31"/>
  <c r="J25" i="31"/>
  <c r="J24" i="31"/>
  <c r="J22" i="31"/>
  <c r="H18" i="31"/>
  <c r="J15" i="31"/>
  <c r="J20" i="31"/>
  <c r="J16" i="31"/>
  <c r="N12" i="31"/>
  <c r="J21" i="31"/>
  <c r="J18" i="31"/>
  <c r="N21" i="31"/>
  <c r="X34" i="31"/>
  <c r="X22" i="32"/>
  <c r="L16" i="25"/>
  <c r="L20" i="25"/>
  <c r="T18" i="26"/>
  <c r="V15" i="26"/>
  <c r="Z12" i="26"/>
  <c r="V36" i="26"/>
  <c r="V34" i="26"/>
  <c r="V33" i="26"/>
  <c r="V31" i="26"/>
  <c r="V29" i="26"/>
  <c r="V27" i="26"/>
  <c r="V25" i="26"/>
  <c r="V24" i="26"/>
  <c r="V22" i="26"/>
  <c r="V21" i="26"/>
  <c r="V20" i="26"/>
  <c r="V18" i="26"/>
  <c r="V16" i="26"/>
  <c r="L15" i="26"/>
  <c r="Z25" i="26"/>
  <c r="Z29" i="26"/>
  <c r="Z33" i="26"/>
  <c r="Z34" i="26"/>
  <c r="X15" i="28"/>
  <c r="N25" i="28"/>
  <c r="N29" i="28"/>
  <c r="N33" i="28"/>
  <c r="N34" i="28"/>
  <c r="N13" i="29"/>
  <c r="N22" i="29"/>
  <c r="N24" i="29"/>
  <c r="N24" i="31"/>
  <c r="N15" i="25"/>
  <c r="L21" i="25"/>
  <c r="L16" i="26"/>
  <c r="L20" i="26"/>
  <c r="F21" i="28"/>
  <c r="F20" i="28"/>
  <c r="F18" i="28"/>
  <c r="F16" i="28"/>
  <c r="D18" i="28"/>
  <c r="F15" i="28"/>
  <c r="L12" i="28"/>
  <c r="F36" i="28"/>
  <c r="F34" i="28"/>
  <c r="F33" i="28"/>
  <c r="F31" i="28"/>
  <c r="F29" i="28"/>
  <c r="F27" i="28"/>
  <c r="F25" i="28"/>
  <c r="F24" i="28"/>
  <c r="F22" i="28"/>
  <c r="X16" i="28"/>
  <c r="X20" i="28"/>
  <c r="X15" i="29"/>
  <c r="N25" i="29"/>
  <c r="N29" i="29"/>
  <c r="N33" i="29"/>
  <c r="N34" i="29"/>
  <c r="Z15" i="31"/>
  <c r="X21" i="31"/>
  <c r="X24" i="32"/>
  <c r="N16" i="25"/>
  <c r="N20" i="25"/>
  <c r="L22" i="25"/>
  <c r="L24" i="25"/>
  <c r="N15" i="26"/>
  <c r="L21" i="26"/>
  <c r="H18" i="28"/>
  <c r="J15" i="28"/>
  <c r="N12" i="28"/>
  <c r="J36" i="28"/>
  <c r="J34" i="28"/>
  <c r="J33" i="28"/>
  <c r="J31" i="28"/>
  <c r="J29" i="28"/>
  <c r="J27" i="28"/>
  <c r="J25" i="28"/>
  <c r="J24" i="28"/>
  <c r="J22" i="28"/>
  <c r="J21" i="28"/>
  <c r="J20" i="28"/>
  <c r="J18" i="28"/>
  <c r="J16" i="28"/>
  <c r="X13" i="28"/>
  <c r="Z15" i="28"/>
  <c r="X21" i="28"/>
  <c r="F20" i="29"/>
  <c r="F18" i="29"/>
  <c r="F16" i="29"/>
  <c r="D18" i="29"/>
  <c r="F15" i="29"/>
  <c r="L12" i="29"/>
  <c r="F36" i="29"/>
  <c r="F34" i="29"/>
  <c r="F33" i="29"/>
  <c r="F31" i="29"/>
  <c r="F29" i="29"/>
  <c r="F27" i="29"/>
  <c r="F25" i="29"/>
  <c r="F24" i="29"/>
  <c r="F22" i="29"/>
  <c r="F21" i="29"/>
  <c r="X16" i="29"/>
  <c r="X20" i="29"/>
  <c r="R21" i="31"/>
  <c r="P18" i="31"/>
  <c r="R15" i="31"/>
  <c r="X12" i="31"/>
  <c r="R29" i="31"/>
  <c r="R25" i="31"/>
  <c r="R22" i="31"/>
  <c r="R33" i="31"/>
  <c r="R20" i="31"/>
  <c r="R16" i="31"/>
  <c r="R36" i="31"/>
  <c r="R27" i="31"/>
  <c r="R31" i="31"/>
  <c r="R24" i="31"/>
  <c r="R18" i="31"/>
  <c r="R34" i="31"/>
  <c r="Z21" i="31"/>
  <c r="V36" i="22"/>
  <c r="V34" i="22"/>
  <c r="V33" i="22"/>
  <c r="V31" i="22"/>
  <c r="V29" i="22"/>
  <c r="V27" i="22"/>
  <c r="V25" i="22"/>
  <c r="V24" i="22"/>
  <c r="V22" i="22"/>
  <c r="V18" i="22"/>
  <c r="T18" i="22"/>
  <c r="V20" i="22"/>
  <c r="V15" i="22"/>
  <c r="Z12" i="22"/>
  <c r="V21" i="22"/>
  <c r="V16" i="22"/>
  <c r="L15" i="22"/>
  <c r="Z25" i="22"/>
  <c r="Z29" i="22"/>
  <c r="Z33" i="22"/>
  <c r="Z34" i="22"/>
  <c r="R36" i="23"/>
  <c r="R34" i="23"/>
  <c r="R33" i="23"/>
  <c r="R31" i="23"/>
  <c r="R29" i="23"/>
  <c r="R27" i="23"/>
  <c r="R25" i="23"/>
  <c r="R15" i="23"/>
  <c r="X12" i="23"/>
  <c r="R21" i="23"/>
  <c r="R16" i="23"/>
  <c r="R22" i="23"/>
  <c r="R18" i="23"/>
  <c r="P18" i="23"/>
  <c r="R24" i="23"/>
  <c r="R20" i="23"/>
  <c r="Z22" i="23"/>
  <c r="Z24" i="23"/>
  <c r="L13" i="25"/>
  <c r="N21" i="25"/>
  <c r="L25" i="25"/>
  <c r="L29" i="25"/>
  <c r="L33" i="25"/>
  <c r="L34" i="25"/>
  <c r="N16" i="26"/>
  <c r="N20" i="26"/>
  <c r="L22" i="26"/>
  <c r="L24" i="26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Z24" i="31"/>
  <c r="Z16" i="32"/>
  <c r="X25" i="32"/>
  <c r="L16" i="22"/>
  <c r="L20" i="22"/>
  <c r="V24" i="23"/>
  <c r="V22" i="23"/>
  <c r="V21" i="23"/>
  <c r="V36" i="23"/>
  <c r="V31" i="23"/>
  <c r="V25" i="23"/>
  <c r="V16" i="23"/>
  <c r="V33" i="23"/>
  <c r="V27" i="23"/>
  <c r="V18" i="23"/>
  <c r="T18" i="23"/>
  <c r="V34" i="23"/>
  <c r="V29" i="23"/>
  <c r="V20" i="23"/>
  <c r="V15" i="23"/>
  <c r="Z12" i="23"/>
  <c r="L15" i="23"/>
  <c r="Z25" i="23"/>
  <c r="Z29" i="23"/>
  <c r="Z33" i="23"/>
  <c r="Z34" i="23"/>
  <c r="N13" i="25"/>
  <c r="N22" i="25"/>
  <c r="N24" i="25"/>
  <c r="L13" i="26"/>
  <c r="N21" i="26"/>
  <c r="L25" i="26"/>
  <c r="L29" i="26"/>
  <c r="L33" i="26"/>
  <c r="L34" i="26"/>
  <c r="Z21" i="28"/>
  <c r="X25" i="28"/>
  <c r="X29" i="28"/>
  <c r="X33" i="28"/>
  <c r="X34" i="28"/>
  <c r="Z13" i="29"/>
  <c r="Z16" i="29"/>
  <c r="Z20" i="29"/>
  <c r="X22" i="29"/>
  <c r="X24" i="29"/>
  <c r="L33" i="31"/>
  <c r="X15" i="25"/>
  <c r="N25" i="25"/>
  <c r="N29" i="25"/>
  <c r="N33" i="25"/>
  <c r="N34" i="25"/>
  <c r="N13" i="26"/>
  <c r="N22" i="26"/>
  <c r="N24" i="26"/>
  <c r="X12" i="28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Z22" i="28"/>
  <c r="Z24" i="28"/>
  <c r="Z21" i="29"/>
  <c r="X25" i="29"/>
  <c r="X29" i="29"/>
  <c r="X33" i="29"/>
  <c r="X34" i="29"/>
  <c r="L13" i="31"/>
  <c r="L25" i="31"/>
  <c r="L29" i="31"/>
  <c r="X29" i="32"/>
  <c r="L12" i="25"/>
  <c r="F36" i="25"/>
  <c r="F34" i="25"/>
  <c r="F33" i="25"/>
  <c r="F31" i="25"/>
  <c r="F29" i="25"/>
  <c r="F27" i="25"/>
  <c r="F25" i="25"/>
  <c r="F24" i="25"/>
  <c r="F22" i="25"/>
  <c r="F21" i="25"/>
  <c r="F20" i="25"/>
  <c r="F18" i="25"/>
  <c r="F16" i="25"/>
  <c r="D18" i="25"/>
  <c r="F15" i="25"/>
  <c r="X16" i="25"/>
  <c r="X20" i="25"/>
  <c r="X15" i="26"/>
  <c r="N25" i="26"/>
  <c r="N29" i="26"/>
  <c r="N33" i="26"/>
  <c r="N34" i="26"/>
  <c r="Z12" i="28"/>
  <c r="V36" i="28"/>
  <c r="V34" i="28"/>
  <c r="V33" i="28"/>
  <c r="V31" i="28"/>
  <c r="V29" i="28"/>
  <c r="V27" i="28"/>
  <c r="V25" i="28"/>
  <c r="V24" i="28"/>
  <c r="V22" i="28"/>
  <c r="V21" i="28"/>
  <c r="V20" i="28"/>
  <c r="V18" i="28"/>
  <c r="V16" i="28"/>
  <c r="T18" i="28"/>
  <c r="V15" i="28"/>
  <c r="L15" i="28"/>
  <c r="Z25" i="28"/>
  <c r="Z29" i="28"/>
  <c r="Z33" i="28"/>
  <c r="Z34" i="28"/>
  <c r="X12" i="29"/>
  <c r="R36" i="29"/>
  <c r="R34" i="29"/>
  <c r="R33" i="29"/>
  <c r="R31" i="29"/>
  <c r="R29" i="29"/>
  <c r="R27" i="29"/>
  <c r="R25" i="29"/>
  <c r="R24" i="29"/>
  <c r="R22" i="29"/>
  <c r="R21" i="29"/>
  <c r="R20" i="29"/>
  <c r="R18" i="29"/>
  <c r="R16" i="29"/>
  <c r="P18" i="29"/>
  <c r="R15" i="29"/>
  <c r="Z22" i="29"/>
  <c r="Z24" i="29"/>
  <c r="N13" i="31"/>
  <c r="N22" i="31"/>
  <c r="X33" i="31"/>
  <c r="N12" i="25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H18" i="25"/>
  <c r="J15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F20" i="26"/>
  <c r="F18" i="26"/>
  <c r="F16" i="26"/>
  <c r="D18" i="26"/>
  <c r="F15" i="26"/>
  <c r="X16" i="26"/>
  <c r="X20" i="26"/>
  <c r="L16" i="28"/>
  <c r="L20" i="28"/>
  <c r="Z12" i="29"/>
  <c r="V36" i="29"/>
  <c r="V34" i="29"/>
  <c r="V33" i="29"/>
  <c r="V31" i="29"/>
  <c r="V29" i="29"/>
  <c r="V27" i="29"/>
  <c r="V25" i="29"/>
  <c r="V24" i="29"/>
  <c r="V22" i="29"/>
  <c r="V21" i="29"/>
  <c r="V20" i="29"/>
  <c r="V18" i="29"/>
  <c r="V16" i="29"/>
  <c r="T18" i="29"/>
  <c r="V15" i="29"/>
  <c r="L15" i="29"/>
  <c r="Z25" i="29"/>
  <c r="Z29" i="29"/>
  <c r="Z33" i="29"/>
  <c r="Z34" i="29"/>
  <c r="X13" i="31"/>
  <c r="Z20" i="32"/>
  <c r="X33" i="32"/>
  <c r="Z13" i="25"/>
  <c r="Z16" i="25"/>
  <c r="Z20" i="25"/>
  <c r="X22" i="25"/>
  <c r="X24" i="25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X13" i="26"/>
  <c r="Z15" i="26"/>
  <c r="X21" i="26"/>
  <c r="N15" i="28"/>
  <c r="L21" i="28"/>
  <c r="L16" i="29"/>
  <c r="L20" i="29"/>
  <c r="X25" i="31"/>
  <c r="X29" i="31"/>
  <c r="X34" i="32"/>
  <c r="X15" i="22"/>
  <c r="N25" i="22"/>
  <c r="N29" i="22"/>
  <c r="N33" i="22"/>
  <c r="N34" i="22"/>
  <c r="N13" i="23"/>
  <c r="N22" i="23"/>
  <c r="N24" i="23"/>
  <c r="Z21" i="25"/>
  <c r="X25" i="25"/>
  <c r="X29" i="25"/>
  <c r="X33" i="25"/>
  <c r="X34" i="25"/>
  <c r="Z13" i="26"/>
  <c r="Z16" i="26"/>
  <c r="Z20" i="26"/>
  <c r="X22" i="26"/>
  <c r="X24" i="26"/>
  <c r="N16" i="28"/>
  <c r="N20" i="28"/>
  <c r="L22" i="28"/>
  <c r="L24" i="28"/>
  <c r="N15" i="29"/>
  <c r="L21" i="29"/>
  <c r="Z22" i="31"/>
  <c r="L34" i="31"/>
  <c r="L16" i="31"/>
  <c r="L20" i="31"/>
  <c r="V21" i="32"/>
  <c r="Z12" i="32"/>
  <c r="V36" i="32"/>
  <c r="V34" i="32"/>
  <c r="V33" i="32"/>
  <c r="V31" i="32"/>
  <c r="V29" i="32"/>
  <c r="V27" i="32"/>
  <c r="V25" i="32"/>
  <c r="V24" i="32"/>
  <c r="V22" i="32"/>
  <c r="V20" i="32"/>
  <c r="V18" i="32"/>
  <c r="T18" i="32"/>
  <c r="V16" i="32"/>
  <c r="V15" i="32"/>
  <c r="L15" i="32"/>
  <c r="Z25" i="32"/>
  <c r="Z29" i="32"/>
  <c r="Z33" i="32"/>
  <c r="Z34" i="32"/>
  <c r="V21" i="34"/>
  <c r="V20" i="34"/>
  <c r="V18" i="34"/>
  <c r="V16" i="34"/>
  <c r="T18" i="34"/>
  <c r="V15" i="34"/>
  <c r="Z12" i="34"/>
  <c r="V36" i="34"/>
  <c r="V34" i="34"/>
  <c r="V33" i="34"/>
  <c r="V31" i="34"/>
  <c r="V29" i="34"/>
  <c r="V27" i="34"/>
  <c r="V25" i="34"/>
  <c r="V24" i="34"/>
  <c r="V22" i="34"/>
  <c r="L15" i="34"/>
  <c r="Z25" i="34"/>
  <c r="Z29" i="34"/>
  <c r="Z33" i="34"/>
  <c r="Z34" i="34"/>
  <c r="R24" i="35"/>
  <c r="R22" i="35"/>
  <c r="R21" i="35"/>
  <c r="R20" i="35"/>
  <c r="R18" i="35"/>
  <c r="R16" i="35"/>
  <c r="P18" i="35"/>
  <c r="R15" i="35"/>
  <c r="X12" i="35"/>
  <c r="R36" i="35"/>
  <c r="R34" i="35"/>
  <c r="R33" i="35"/>
  <c r="R31" i="35"/>
  <c r="R29" i="35"/>
  <c r="R27" i="35"/>
  <c r="R25" i="35"/>
  <c r="Z22" i="35"/>
  <c r="Z24" i="35"/>
  <c r="N21" i="37"/>
  <c r="X24" i="37"/>
  <c r="L24" i="38"/>
  <c r="N25" i="38"/>
  <c r="X29" i="38"/>
  <c r="L16" i="32"/>
  <c r="L20" i="32"/>
  <c r="L16" i="34"/>
  <c r="L20" i="34"/>
  <c r="V20" i="35"/>
  <c r="V18" i="35"/>
  <c r="V16" i="35"/>
  <c r="T18" i="35"/>
  <c r="V15" i="35"/>
  <c r="Z12" i="35"/>
  <c r="V36" i="35"/>
  <c r="V34" i="35"/>
  <c r="V33" i="35"/>
  <c r="V31" i="35"/>
  <c r="V29" i="35"/>
  <c r="V27" i="35"/>
  <c r="V25" i="35"/>
  <c r="V24" i="35"/>
  <c r="V22" i="35"/>
  <c r="V21" i="35"/>
  <c r="L15" i="35"/>
  <c r="Z25" i="35"/>
  <c r="Z29" i="35"/>
  <c r="Z33" i="35"/>
  <c r="Z34" i="35"/>
  <c r="X13" i="37"/>
  <c r="N20" i="37"/>
  <c r="X34" i="37"/>
  <c r="X16" i="38"/>
  <c r="Z29" i="38"/>
  <c r="L34" i="38"/>
  <c r="N16" i="31"/>
  <c r="N20" i="31"/>
  <c r="L22" i="31"/>
  <c r="L24" i="31"/>
  <c r="N15" i="32"/>
  <c r="L21" i="32"/>
  <c r="N15" i="34"/>
  <c r="L21" i="34"/>
  <c r="L16" i="35"/>
  <c r="L20" i="35"/>
  <c r="F33" i="37"/>
  <c r="F21" i="37"/>
  <c r="F22" i="37"/>
  <c r="F34" i="37"/>
  <c r="F24" i="37"/>
  <c r="F36" i="37"/>
  <c r="F25" i="37"/>
  <c r="F27" i="37"/>
  <c r="F15" i="37"/>
  <c r="F16" i="37"/>
  <c r="L12" i="37"/>
  <c r="F29" i="37"/>
  <c r="F18" i="37"/>
  <c r="F31" i="37"/>
  <c r="D18" i="37"/>
  <c r="F20" i="37"/>
  <c r="Z13" i="37"/>
  <c r="X22" i="37"/>
  <c r="Z24" i="37"/>
  <c r="L29" i="37"/>
  <c r="X15" i="38"/>
  <c r="L22" i="38"/>
  <c r="N34" i="38"/>
  <c r="N16" i="32"/>
  <c r="N20" i="32"/>
  <c r="L22" i="32"/>
  <c r="L24" i="32"/>
  <c r="N16" i="34"/>
  <c r="N20" i="34"/>
  <c r="L22" i="34"/>
  <c r="L24" i="34"/>
  <c r="N15" i="35"/>
  <c r="L21" i="35"/>
  <c r="J24" i="37"/>
  <c r="J22" i="37"/>
  <c r="J34" i="37"/>
  <c r="J36" i="37"/>
  <c r="J25" i="37"/>
  <c r="J15" i="37"/>
  <c r="J27" i="37"/>
  <c r="J16" i="37"/>
  <c r="N12" i="37"/>
  <c r="J29" i="37"/>
  <c r="J18" i="37"/>
  <c r="H18" i="37"/>
  <c r="J31" i="37"/>
  <c r="J20" i="37"/>
  <c r="J21" i="37"/>
  <c r="J33" i="37"/>
  <c r="L16" i="37"/>
  <c r="X21" i="37"/>
  <c r="X33" i="37"/>
  <c r="L13" i="38"/>
  <c r="Z16" i="38"/>
  <c r="L21" i="38"/>
  <c r="L33" i="38"/>
  <c r="L13" i="32"/>
  <c r="N21" i="32"/>
  <c r="L25" i="32"/>
  <c r="L29" i="32"/>
  <c r="L33" i="32"/>
  <c r="L34" i="32"/>
  <c r="L13" i="34"/>
  <c r="N21" i="34"/>
  <c r="L25" i="34"/>
  <c r="L29" i="34"/>
  <c r="L33" i="34"/>
  <c r="L34" i="34"/>
  <c r="N16" i="35"/>
  <c r="N20" i="35"/>
  <c r="L22" i="35"/>
  <c r="L24" i="35"/>
  <c r="X20" i="37"/>
  <c r="Z22" i="37"/>
  <c r="Z15" i="38"/>
  <c r="L20" i="38"/>
  <c r="X25" i="38"/>
  <c r="N33" i="38"/>
  <c r="X15" i="31"/>
  <c r="N25" i="31"/>
  <c r="N29" i="31"/>
  <c r="N33" i="31"/>
  <c r="N34" i="31"/>
  <c r="N13" i="32"/>
  <c r="N22" i="32"/>
  <c r="N24" i="32"/>
  <c r="N13" i="34"/>
  <c r="N22" i="34"/>
  <c r="N24" i="34"/>
  <c r="L13" i="35"/>
  <c r="N21" i="35"/>
  <c r="L25" i="35"/>
  <c r="L29" i="35"/>
  <c r="L33" i="35"/>
  <c r="L34" i="35"/>
  <c r="N16" i="37"/>
  <c r="Z21" i="37"/>
  <c r="N21" i="38"/>
  <c r="X24" i="38"/>
  <c r="Z25" i="38"/>
  <c r="F36" i="31"/>
  <c r="F34" i="31"/>
  <c r="F33" i="31"/>
  <c r="F31" i="31"/>
  <c r="F21" i="31"/>
  <c r="D18" i="31"/>
  <c r="F15" i="31"/>
  <c r="F29" i="31"/>
  <c r="F25" i="31"/>
  <c r="F22" i="31"/>
  <c r="F20" i="31"/>
  <c r="F16" i="31"/>
  <c r="F27" i="31"/>
  <c r="L12" i="31"/>
  <c r="F24" i="31"/>
  <c r="F18" i="31"/>
  <c r="X16" i="31"/>
  <c r="X20" i="31"/>
  <c r="X15" i="32"/>
  <c r="N25" i="32"/>
  <c r="N29" i="32"/>
  <c r="N33" i="32"/>
  <c r="N34" i="32"/>
  <c r="X15" i="34"/>
  <c r="N25" i="34"/>
  <c r="N29" i="34"/>
  <c r="N33" i="34"/>
  <c r="N34" i="34"/>
  <c r="N13" i="35"/>
  <c r="N22" i="35"/>
  <c r="N24" i="35"/>
  <c r="R27" i="37"/>
  <c r="R15" i="37"/>
  <c r="R16" i="37"/>
  <c r="R29" i="37"/>
  <c r="R18" i="37"/>
  <c r="X12" i="37"/>
  <c r="R31" i="37"/>
  <c r="P18" i="37"/>
  <c r="R20" i="37"/>
  <c r="R33" i="37"/>
  <c r="R21" i="37"/>
  <c r="R22" i="37"/>
  <c r="R34" i="37"/>
  <c r="R24" i="37"/>
  <c r="R36" i="37"/>
  <c r="R25" i="37"/>
  <c r="N15" i="37"/>
  <c r="Z20" i="37"/>
  <c r="L25" i="37"/>
  <c r="X13" i="38"/>
  <c r="N20" i="38"/>
  <c r="X34" i="38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L12" i="32"/>
  <c r="X16" i="32"/>
  <c r="X20" i="32"/>
  <c r="L12" i="34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D18" i="34"/>
  <c r="F15" i="34"/>
  <c r="X16" i="34"/>
  <c r="X20" i="34"/>
  <c r="X15" i="35"/>
  <c r="N25" i="35"/>
  <c r="N29" i="35"/>
  <c r="N33" i="35"/>
  <c r="N34" i="35"/>
  <c r="L24" i="37"/>
  <c r="X29" i="37"/>
  <c r="F36" i="38"/>
  <c r="F34" i="38"/>
  <c r="F33" i="38"/>
  <c r="F31" i="38"/>
  <c r="F29" i="38"/>
  <c r="F27" i="38"/>
  <c r="F25" i="38"/>
  <c r="F15" i="38"/>
  <c r="F16" i="38"/>
  <c r="L12" i="38"/>
  <c r="F18" i="38"/>
  <c r="D18" i="38"/>
  <c r="F20" i="38"/>
  <c r="F21" i="38"/>
  <c r="F22" i="38"/>
  <c r="F24" i="38"/>
  <c r="Z13" i="38"/>
  <c r="X22" i="38"/>
  <c r="L29" i="38"/>
  <c r="Z34" i="38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N12" i="32"/>
  <c r="J15" i="32"/>
  <c r="X13" i="32"/>
  <c r="Z15" i="32"/>
  <c r="X21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X16" i="35"/>
  <c r="X20" i="35"/>
  <c r="X16" i="37"/>
  <c r="L34" i="37"/>
  <c r="J21" i="38"/>
  <c r="J27" i="38"/>
  <c r="J16" i="38"/>
  <c r="N12" i="38"/>
  <c r="J29" i="38"/>
  <c r="J18" i="38"/>
  <c r="H18" i="38"/>
  <c r="J31" i="38"/>
  <c r="J20" i="38"/>
  <c r="J33" i="38"/>
  <c r="J22" i="38"/>
  <c r="J34" i="38"/>
  <c r="J24" i="38"/>
  <c r="J36" i="38"/>
  <c r="J25" i="38"/>
  <c r="J15" i="38"/>
  <c r="L16" i="38"/>
  <c r="X21" i="38"/>
  <c r="N29" i="38"/>
  <c r="X33" i="38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L22" i="37"/>
  <c r="N24" i="37"/>
  <c r="L15" i="38"/>
  <c r="X20" i="38"/>
  <c r="Z33" i="38"/>
  <c r="Z21" i="34"/>
  <c r="X25" i="34"/>
  <c r="X29" i="34"/>
  <c r="X33" i="34"/>
  <c r="X34" i="34"/>
  <c r="Z13" i="35"/>
  <c r="Z16" i="35"/>
  <c r="Z20" i="35"/>
  <c r="X22" i="35"/>
  <c r="X24" i="35"/>
  <c r="L13" i="37"/>
  <c r="Z16" i="37"/>
  <c r="L21" i="37"/>
  <c r="L33" i="37"/>
  <c r="N16" i="38"/>
  <c r="Z21" i="38"/>
  <c r="V24" i="31"/>
  <c r="V22" i="31"/>
  <c r="T18" i="31"/>
  <c r="V15" i="31"/>
  <c r="V36" i="31"/>
  <c r="V34" i="31"/>
  <c r="V33" i="31"/>
  <c r="V31" i="31"/>
  <c r="V29" i="31"/>
  <c r="V27" i="31"/>
  <c r="V25" i="31"/>
  <c r="V20" i="31"/>
  <c r="V16" i="31"/>
  <c r="V21" i="31"/>
  <c r="Z12" i="31"/>
  <c r="V18" i="31"/>
  <c r="L15" i="31"/>
  <c r="Z25" i="31"/>
  <c r="Z29" i="31"/>
  <c r="Z33" i="31"/>
  <c r="Z34" i="31"/>
  <c r="R36" i="32"/>
  <c r="R34" i="32"/>
  <c r="R33" i="32"/>
  <c r="R31" i="32"/>
  <c r="R29" i="32"/>
  <c r="R27" i="32"/>
  <c r="R25" i="32"/>
  <c r="R20" i="32"/>
  <c r="R18" i="32"/>
  <c r="R16" i="32"/>
  <c r="P18" i="32"/>
  <c r="R15" i="32"/>
  <c r="X12" i="32"/>
  <c r="R21" i="32"/>
  <c r="R24" i="32"/>
  <c r="R22" i="32"/>
  <c r="Z22" i="32"/>
  <c r="Z24" i="32"/>
  <c r="R36" i="34"/>
  <c r="R34" i="34"/>
  <c r="R33" i="34"/>
  <c r="R31" i="34"/>
  <c r="R29" i="34"/>
  <c r="R27" i="34"/>
  <c r="R25" i="34"/>
  <c r="R24" i="34"/>
  <c r="R22" i="34"/>
  <c r="R21" i="34"/>
  <c r="R20" i="34"/>
  <c r="R18" i="34"/>
  <c r="R16" i="34"/>
  <c r="P18" i="34"/>
  <c r="R15" i="34"/>
  <c r="X12" i="34"/>
  <c r="Z22" i="34"/>
  <c r="Z24" i="34"/>
  <c r="Z21" i="35"/>
  <c r="X25" i="35"/>
  <c r="X29" i="35"/>
  <c r="X33" i="35"/>
  <c r="X34" i="35"/>
  <c r="N13" i="37"/>
  <c r="Z15" i="37"/>
  <c r="L20" i="37"/>
  <c r="N22" i="37"/>
  <c r="X25" i="37"/>
  <c r="V21" i="38"/>
  <c r="V33" i="38"/>
  <c r="V22" i="38"/>
  <c r="V34" i="38"/>
  <c r="V24" i="38"/>
  <c r="V36" i="38"/>
  <c r="V25" i="38"/>
  <c r="V15" i="38"/>
  <c r="V27" i="38"/>
  <c r="V16" i="38"/>
  <c r="V29" i="38"/>
  <c r="V18" i="38"/>
  <c r="T18" i="38"/>
  <c r="Z12" i="38"/>
  <c r="V31" i="38"/>
  <c r="V20" i="38"/>
  <c r="N15" i="38"/>
  <c r="Z20" i="38"/>
  <c r="L25" i="38"/>
  <c r="X15" i="37"/>
  <c r="N25" i="37"/>
  <c r="N29" i="37"/>
  <c r="N33" i="37"/>
  <c r="N34" i="37"/>
  <c r="N13" i="38"/>
  <c r="N22" i="38"/>
  <c r="N24" i="38"/>
  <c r="N13" i="40"/>
  <c r="N22" i="40"/>
  <c r="N24" i="40"/>
  <c r="L13" i="41"/>
  <c r="N21" i="41"/>
  <c r="L25" i="41"/>
  <c r="L29" i="41"/>
  <c r="L33" i="41"/>
  <c r="L34" i="41"/>
  <c r="J24" i="43"/>
  <c r="J22" i="43"/>
  <c r="J31" i="43"/>
  <c r="J20" i="43"/>
  <c r="J21" i="43"/>
  <c r="J33" i="43"/>
  <c r="J34" i="43"/>
  <c r="J36" i="43"/>
  <c r="J25" i="43"/>
  <c r="J15" i="43"/>
  <c r="J27" i="43"/>
  <c r="J16" i="43"/>
  <c r="N12" i="43"/>
  <c r="J29" i="43"/>
  <c r="J18" i="43"/>
  <c r="H18" i="43"/>
  <c r="L16" i="43"/>
  <c r="X21" i="43"/>
  <c r="X33" i="43"/>
  <c r="L13" i="44"/>
  <c r="Z16" i="44"/>
  <c r="L21" i="44"/>
  <c r="L33" i="44"/>
  <c r="X15" i="40"/>
  <c r="N25" i="40"/>
  <c r="N29" i="40"/>
  <c r="N33" i="40"/>
  <c r="N34" i="40"/>
  <c r="N13" i="41"/>
  <c r="N22" i="41"/>
  <c r="N24" i="41"/>
  <c r="X20" i="43"/>
  <c r="Z22" i="43"/>
  <c r="Z15" i="44"/>
  <c r="L20" i="44"/>
  <c r="X25" i="44"/>
  <c r="N33" i="44"/>
  <c r="F24" i="40"/>
  <c r="F22" i="40"/>
  <c r="F21" i="40"/>
  <c r="F20" i="40"/>
  <c r="F18" i="40"/>
  <c r="F16" i="40"/>
  <c r="D18" i="40"/>
  <c r="F15" i="40"/>
  <c r="L12" i="40"/>
  <c r="F36" i="40"/>
  <c r="F34" i="40"/>
  <c r="F33" i="40"/>
  <c r="F31" i="40"/>
  <c r="F29" i="40"/>
  <c r="F27" i="40"/>
  <c r="F25" i="40"/>
  <c r="X16" i="40"/>
  <c r="X20" i="40"/>
  <c r="X15" i="41"/>
  <c r="N25" i="41"/>
  <c r="N29" i="41"/>
  <c r="N33" i="41"/>
  <c r="N34" i="41"/>
  <c r="N16" i="43"/>
  <c r="Z21" i="43"/>
  <c r="N21" i="44"/>
  <c r="X24" i="44"/>
  <c r="Z25" i="44"/>
  <c r="J20" i="40"/>
  <c r="J18" i="40"/>
  <c r="J16" i="40"/>
  <c r="H18" i="40"/>
  <c r="J15" i="40"/>
  <c r="N12" i="40"/>
  <c r="J36" i="40"/>
  <c r="J34" i="40"/>
  <c r="J33" i="40"/>
  <c r="J31" i="40"/>
  <c r="J29" i="40"/>
  <c r="J27" i="40"/>
  <c r="J25" i="40"/>
  <c r="J24" i="40"/>
  <c r="J22" i="40"/>
  <c r="J21" i="40"/>
  <c r="X13" i="40"/>
  <c r="Z15" i="40"/>
  <c r="X21" i="40"/>
  <c r="F21" i="41"/>
  <c r="F20" i="41"/>
  <c r="F18" i="41"/>
  <c r="F16" i="41"/>
  <c r="D18" i="41"/>
  <c r="F15" i="41"/>
  <c r="L12" i="41"/>
  <c r="F36" i="41"/>
  <c r="F34" i="41"/>
  <c r="F33" i="41"/>
  <c r="F31" i="41"/>
  <c r="F29" i="41"/>
  <c r="F27" i="41"/>
  <c r="F25" i="41"/>
  <c r="F24" i="41"/>
  <c r="F22" i="41"/>
  <c r="X16" i="41"/>
  <c r="X20" i="41"/>
  <c r="R34" i="43"/>
  <c r="R24" i="43"/>
  <c r="R36" i="43"/>
  <c r="R25" i="43"/>
  <c r="R27" i="43"/>
  <c r="R15" i="43"/>
  <c r="R16" i="43"/>
  <c r="R29" i="43"/>
  <c r="R18" i="43"/>
  <c r="X12" i="43"/>
  <c r="R31" i="43"/>
  <c r="P18" i="43"/>
  <c r="R20" i="43"/>
  <c r="R33" i="43"/>
  <c r="R21" i="43"/>
  <c r="R22" i="43"/>
  <c r="N15" i="43"/>
  <c r="Z20" i="43"/>
  <c r="L25" i="43"/>
  <c r="X13" i="44"/>
  <c r="N20" i="44"/>
  <c r="X34" i="44"/>
  <c r="Z13" i="40"/>
  <c r="Z16" i="40"/>
  <c r="Z20" i="40"/>
  <c r="X22" i="40"/>
  <c r="X24" i="40"/>
  <c r="H18" i="41"/>
  <c r="J15" i="41"/>
  <c r="N12" i="41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X13" i="41"/>
  <c r="Z15" i="41"/>
  <c r="X21" i="41"/>
  <c r="L24" i="43"/>
  <c r="X29" i="43"/>
  <c r="F36" i="44"/>
  <c r="F34" i="44"/>
  <c r="F33" i="44"/>
  <c r="F31" i="44"/>
  <c r="F29" i="44"/>
  <c r="F27" i="44"/>
  <c r="F25" i="44"/>
  <c r="F24" i="44"/>
  <c r="F15" i="44"/>
  <c r="F16" i="44"/>
  <c r="L12" i="44"/>
  <c r="F18" i="44"/>
  <c r="D18" i="44"/>
  <c r="F20" i="44"/>
  <c r="F21" i="44"/>
  <c r="F22" i="44"/>
  <c r="Z13" i="44"/>
  <c r="X22" i="44"/>
  <c r="L29" i="44"/>
  <c r="Z34" i="44"/>
  <c r="Z21" i="40"/>
  <c r="X25" i="40"/>
  <c r="X29" i="40"/>
  <c r="X33" i="40"/>
  <c r="X34" i="40"/>
  <c r="Z13" i="41"/>
  <c r="Z16" i="41"/>
  <c r="Z20" i="41"/>
  <c r="X22" i="41"/>
  <c r="X24" i="41"/>
  <c r="X16" i="43"/>
  <c r="L34" i="43"/>
  <c r="J21" i="44"/>
  <c r="J24" i="44"/>
  <c r="J36" i="44"/>
  <c r="J25" i="44"/>
  <c r="J15" i="44"/>
  <c r="J27" i="44"/>
  <c r="J16" i="44"/>
  <c r="N12" i="44"/>
  <c r="J29" i="44"/>
  <c r="J18" i="44"/>
  <c r="H18" i="44"/>
  <c r="J31" i="44"/>
  <c r="J20" i="44"/>
  <c r="J33" i="44"/>
  <c r="J22" i="44"/>
  <c r="J34" i="44"/>
  <c r="L16" i="44"/>
  <c r="X21" i="44"/>
  <c r="N29" i="44"/>
  <c r="X33" i="44"/>
  <c r="V24" i="37"/>
  <c r="V22" i="37"/>
  <c r="V27" i="37"/>
  <c r="V16" i="37"/>
  <c r="V29" i="37"/>
  <c r="V18" i="37"/>
  <c r="T18" i="37"/>
  <c r="Z12" i="37"/>
  <c r="V31" i="37"/>
  <c r="V20" i="37"/>
  <c r="V21" i="37"/>
  <c r="V33" i="37"/>
  <c r="V34" i="37"/>
  <c r="V36" i="37"/>
  <c r="V25" i="37"/>
  <c r="V15" i="37"/>
  <c r="L15" i="37"/>
  <c r="Z25" i="37"/>
  <c r="Z29" i="37"/>
  <c r="Z33" i="37"/>
  <c r="Z34" i="37"/>
  <c r="R36" i="38"/>
  <c r="R34" i="38"/>
  <c r="R33" i="38"/>
  <c r="R31" i="38"/>
  <c r="R29" i="38"/>
  <c r="R27" i="38"/>
  <c r="R25" i="38"/>
  <c r="P18" i="38"/>
  <c r="R20" i="38"/>
  <c r="R21" i="38"/>
  <c r="R22" i="38"/>
  <c r="R24" i="38"/>
  <c r="R15" i="38"/>
  <c r="R16" i="38"/>
  <c r="R18" i="38"/>
  <c r="X12" i="38"/>
  <c r="Z22" i="38"/>
  <c r="Z24" i="38"/>
  <c r="X12" i="40"/>
  <c r="R36" i="40"/>
  <c r="R34" i="40"/>
  <c r="R33" i="40"/>
  <c r="R31" i="40"/>
  <c r="R29" i="40"/>
  <c r="R27" i="40"/>
  <c r="R25" i="40"/>
  <c r="R24" i="40"/>
  <c r="R22" i="40"/>
  <c r="R21" i="40"/>
  <c r="R20" i="40"/>
  <c r="R18" i="40"/>
  <c r="R16" i="40"/>
  <c r="P18" i="40"/>
  <c r="R15" i="40"/>
  <c r="Z22" i="40"/>
  <c r="Z24" i="40"/>
  <c r="Z21" i="41"/>
  <c r="X25" i="41"/>
  <c r="X29" i="41"/>
  <c r="X33" i="41"/>
  <c r="X34" i="41"/>
  <c r="L22" i="43"/>
  <c r="N24" i="43"/>
  <c r="L15" i="44"/>
  <c r="X20" i="44"/>
  <c r="Z33" i="44"/>
  <c r="Z12" i="40"/>
  <c r="V36" i="40"/>
  <c r="V34" i="40"/>
  <c r="V33" i="40"/>
  <c r="V31" i="40"/>
  <c r="V29" i="40"/>
  <c r="V27" i="40"/>
  <c r="V25" i="40"/>
  <c r="V24" i="40"/>
  <c r="V22" i="40"/>
  <c r="V21" i="40"/>
  <c r="V20" i="40"/>
  <c r="V18" i="40"/>
  <c r="V16" i="40"/>
  <c r="T18" i="40"/>
  <c r="V15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4" i="41"/>
  <c r="R22" i="41"/>
  <c r="R21" i="41"/>
  <c r="R20" i="41"/>
  <c r="R18" i="41"/>
  <c r="R16" i="41"/>
  <c r="P18" i="41"/>
  <c r="R15" i="41"/>
  <c r="Z22" i="41"/>
  <c r="Z24" i="41"/>
  <c r="L13" i="43"/>
  <c r="Z16" i="43"/>
  <c r="L21" i="43"/>
  <c r="L33" i="43"/>
  <c r="N16" i="44"/>
  <c r="Z21" i="44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V20" i="41"/>
  <c r="V18" i="41"/>
  <c r="V16" i="41"/>
  <c r="T18" i="41"/>
  <c r="V15" i="41"/>
  <c r="L15" i="41"/>
  <c r="Z25" i="41"/>
  <c r="Z29" i="41"/>
  <c r="Z33" i="41"/>
  <c r="Z34" i="41"/>
  <c r="N13" i="43"/>
  <c r="Z15" i="43"/>
  <c r="L20" i="43"/>
  <c r="N22" i="43"/>
  <c r="X25" i="43"/>
  <c r="V21" i="44"/>
  <c r="V29" i="44"/>
  <c r="V18" i="44"/>
  <c r="T18" i="44"/>
  <c r="Z12" i="44"/>
  <c r="V31" i="44"/>
  <c r="V20" i="44"/>
  <c r="V33" i="44"/>
  <c r="V22" i="44"/>
  <c r="V34" i="44"/>
  <c r="V24" i="44"/>
  <c r="V36" i="44"/>
  <c r="V25" i="44"/>
  <c r="V15" i="44"/>
  <c r="V27" i="44"/>
  <c r="V16" i="44"/>
  <c r="N15" i="44"/>
  <c r="Z20" i="44"/>
  <c r="L25" i="44"/>
  <c r="N15" i="40"/>
  <c r="L21" i="40"/>
  <c r="L16" i="41"/>
  <c r="L20" i="41"/>
  <c r="N21" i="43"/>
  <c r="X24" i="43"/>
  <c r="L24" i="44"/>
  <c r="N25" i="44"/>
  <c r="X29" i="44"/>
  <c r="N16" i="40"/>
  <c r="N20" i="40"/>
  <c r="L22" i="40"/>
  <c r="L24" i="40"/>
  <c r="N15" i="41"/>
  <c r="L21" i="41"/>
  <c r="X13" i="43"/>
  <c r="N20" i="43"/>
  <c r="X34" i="43"/>
  <c r="X16" i="44"/>
  <c r="Z29" i="44"/>
  <c r="L34" i="44"/>
  <c r="L13" i="40"/>
  <c r="N21" i="40"/>
  <c r="L25" i="40"/>
  <c r="L29" i="40"/>
  <c r="L33" i="40"/>
  <c r="L34" i="40"/>
  <c r="N16" i="41"/>
  <c r="N20" i="41"/>
  <c r="L22" i="41"/>
  <c r="L24" i="41"/>
  <c r="F18" i="43"/>
  <c r="F31" i="43"/>
  <c r="D18" i="43"/>
  <c r="F20" i="43"/>
  <c r="F33" i="43"/>
  <c r="F21" i="43"/>
  <c r="F22" i="43"/>
  <c r="F34" i="43"/>
  <c r="F24" i="43"/>
  <c r="F36" i="43"/>
  <c r="F25" i="43"/>
  <c r="F27" i="43"/>
  <c r="F15" i="43"/>
  <c r="F16" i="43"/>
  <c r="L12" i="43"/>
  <c r="F29" i="43"/>
  <c r="Z13" i="43"/>
  <c r="X22" i="43"/>
  <c r="Z24" i="43"/>
  <c r="L29" i="43"/>
  <c r="X15" i="44"/>
  <c r="L22" i="44"/>
  <c r="N34" i="44"/>
  <c r="V24" i="43"/>
  <c r="V22" i="43"/>
  <c r="V36" i="43"/>
  <c r="V25" i="43"/>
  <c r="V15" i="43"/>
  <c r="V27" i="43"/>
  <c r="V16" i="43"/>
  <c r="V29" i="43"/>
  <c r="V18" i="43"/>
  <c r="T18" i="43"/>
  <c r="Z12" i="43"/>
  <c r="V31" i="43"/>
  <c r="V20" i="43"/>
  <c r="V21" i="43"/>
  <c r="V33" i="43"/>
  <c r="V34" i="43"/>
  <c r="L15" i="43"/>
  <c r="Z25" i="43"/>
  <c r="Z29" i="43"/>
  <c r="Z33" i="43"/>
  <c r="Z34" i="43"/>
  <c r="R36" i="44"/>
  <c r="R34" i="44"/>
  <c r="R33" i="44"/>
  <c r="R31" i="44"/>
  <c r="R29" i="44"/>
  <c r="R27" i="44"/>
  <c r="R25" i="44"/>
  <c r="R16" i="44"/>
  <c r="R18" i="44"/>
  <c r="X12" i="44"/>
  <c r="P18" i="44"/>
  <c r="R20" i="44"/>
  <c r="R21" i="44"/>
  <c r="R22" i="44"/>
  <c r="R24" i="44"/>
  <c r="R15" i="44"/>
  <c r="Z22" i="44"/>
  <c r="Z24" i="44"/>
  <c r="L16" i="46"/>
  <c r="L20" i="46"/>
  <c r="V21" i="47"/>
  <c r="V20" i="47"/>
  <c r="V18" i="47"/>
  <c r="V16" i="47"/>
  <c r="T18" i="47"/>
  <c r="V15" i="47"/>
  <c r="Z12" i="47"/>
  <c r="V36" i="47"/>
  <c r="V34" i="47"/>
  <c r="V33" i="47"/>
  <c r="V31" i="47"/>
  <c r="V29" i="47"/>
  <c r="V27" i="47"/>
  <c r="V25" i="47"/>
  <c r="V24" i="47"/>
  <c r="V22" i="47"/>
  <c r="L15" i="47"/>
  <c r="Z25" i="47"/>
  <c r="Z29" i="47"/>
  <c r="Z33" i="47"/>
  <c r="Z34" i="47"/>
  <c r="N16" i="49"/>
  <c r="N20" i="49"/>
  <c r="L22" i="49"/>
  <c r="L24" i="49"/>
  <c r="Z15" i="50"/>
  <c r="L20" i="50"/>
  <c r="N33" i="50"/>
  <c r="N13" i="52"/>
  <c r="Z16" i="52"/>
  <c r="L21" i="52"/>
  <c r="N22" i="52"/>
  <c r="V36" i="53"/>
  <c r="V34" i="53"/>
  <c r="V33" i="53"/>
  <c r="V31" i="53"/>
  <c r="V29" i="53"/>
  <c r="V27" i="53"/>
  <c r="V25" i="53"/>
  <c r="V21" i="53"/>
  <c r="T18" i="53"/>
  <c r="V15" i="53"/>
  <c r="V18" i="53"/>
  <c r="V24" i="53"/>
  <c r="V16" i="53"/>
  <c r="V20" i="53"/>
  <c r="V22" i="53"/>
  <c r="Z12" i="53"/>
  <c r="X33" i="53"/>
  <c r="N15" i="46"/>
  <c r="L21" i="46"/>
  <c r="L16" i="47"/>
  <c r="L20" i="47"/>
  <c r="L13" i="49"/>
  <c r="N21" i="49"/>
  <c r="L25" i="49"/>
  <c r="L29" i="49"/>
  <c r="L33" i="49"/>
  <c r="L34" i="49"/>
  <c r="X24" i="50"/>
  <c r="Z25" i="50"/>
  <c r="Z15" i="52"/>
  <c r="L20" i="52"/>
  <c r="X24" i="52"/>
  <c r="Z33" i="53"/>
  <c r="N16" i="46"/>
  <c r="N20" i="46"/>
  <c r="L22" i="46"/>
  <c r="L24" i="46"/>
  <c r="N15" i="47"/>
  <c r="L21" i="47"/>
  <c r="N13" i="49"/>
  <c r="N22" i="49"/>
  <c r="N24" i="49"/>
  <c r="X13" i="50"/>
  <c r="N20" i="50"/>
  <c r="Z24" i="50"/>
  <c r="Z24" i="52"/>
  <c r="L13" i="53"/>
  <c r="L29" i="53"/>
  <c r="L34" i="53"/>
  <c r="L13" i="46"/>
  <c r="N21" i="46"/>
  <c r="L25" i="46"/>
  <c r="L29" i="46"/>
  <c r="L33" i="46"/>
  <c r="L34" i="46"/>
  <c r="N16" i="47"/>
  <c r="N20" i="47"/>
  <c r="L22" i="47"/>
  <c r="L24" i="47"/>
  <c r="X15" i="49"/>
  <c r="N25" i="49"/>
  <c r="N29" i="49"/>
  <c r="N33" i="49"/>
  <c r="N34" i="49"/>
  <c r="F24" i="50"/>
  <c r="F22" i="50"/>
  <c r="F33" i="50"/>
  <c r="F34" i="50"/>
  <c r="F36" i="50"/>
  <c r="F25" i="50"/>
  <c r="F15" i="50"/>
  <c r="F27" i="50"/>
  <c r="F16" i="50"/>
  <c r="L12" i="50"/>
  <c r="F29" i="50"/>
  <c r="F18" i="50"/>
  <c r="D18" i="50"/>
  <c r="F31" i="50"/>
  <c r="F20" i="50"/>
  <c r="F21" i="50"/>
  <c r="Z13" i="50"/>
  <c r="X22" i="50"/>
  <c r="Z34" i="50"/>
  <c r="X13" i="52"/>
  <c r="N20" i="52"/>
  <c r="Z29" i="52"/>
  <c r="N29" i="53"/>
  <c r="N34" i="53"/>
  <c r="N13" i="46"/>
  <c r="N22" i="46"/>
  <c r="N24" i="46"/>
  <c r="L13" i="47"/>
  <c r="N21" i="47"/>
  <c r="L25" i="47"/>
  <c r="L29" i="47"/>
  <c r="L33" i="47"/>
  <c r="L34" i="47"/>
  <c r="F20" i="49"/>
  <c r="F18" i="49"/>
  <c r="F16" i="49"/>
  <c r="D18" i="49"/>
  <c r="F15" i="49"/>
  <c r="L12" i="49"/>
  <c r="F36" i="49"/>
  <c r="F34" i="49"/>
  <c r="F33" i="49"/>
  <c r="F31" i="49"/>
  <c r="F29" i="49"/>
  <c r="F27" i="49"/>
  <c r="F25" i="49"/>
  <c r="F24" i="49"/>
  <c r="F22" i="49"/>
  <c r="F21" i="49"/>
  <c r="X16" i="49"/>
  <c r="X20" i="49"/>
  <c r="N12" i="50"/>
  <c r="J20" i="50"/>
  <c r="J18" i="50"/>
  <c r="J16" i="50"/>
  <c r="J34" i="50"/>
  <c r="J24" i="50"/>
  <c r="J36" i="50"/>
  <c r="J25" i="50"/>
  <c r="J15" i="50"/>
  <c r="J27" i="50"/>
  <c r="J29" i="50"/>
  <c r="H18" i="50"/>
  <c r="J31" i="50"/>
  <c r="J33" i="50"/>
  <c r="J21" i="50"/>
  <c r="J22" i="50"/>
  <c r="L16" i="50"/>
  <c r="X21" i="50"/>
  <c r="Z22" i="50"/>
  <c r="N29" i="50"/>
  <c r="F24" i="52"/>
  <c r="F22" i="52"/>
  <c r="F29" i="52"/>
  <c r="F34" i="52"/>
  <c r="F15" i="52"/>
  <c r="F31" i="52"/>
  <c r="F25" i="52"/>
  <c r="F16" i="52"/>
  <c r="L12" i="52"/>
  <c r="F18" i="52"/>
  <c r="D18" i="52"/>
  <c r="F36" i="52"/>
  <c r="F33" i="52"/>
  <c r="F27" i="52"/>
  <c r="F20" i="52"/>
  <c r="F21" i="52"/>
  <c r="Z13" i="52"/>
  <c r="X22" i="52"/>
  <c r="X13" i="53"/>
  <c r="X29" i="53"/>
  <c r="X34" i="53"/>
  <c r="X15" i="46"/>
  <c r="N25" i="46"/>
  <c r="N29" i="46"/>
  <c r="N33" i="46"/>
  <c r="N34" i="46"/>
  <c r="N13" i="47"/>
  <c r="N22" i="47"/>
  <c r="N24" i="47"/>
  <c r="N12" i="49"/>
  <c r="J36" i="49"/>
  <c r="J34" i="49"/>
  <c r="J33" i="49"/>
  <c r="J31" i="49"/>
  <c r="J29" i="49"/>
  <c r="J27" i="49"/>
  <c r="J25" i="49"/>
  <c r="J24" i="49"/>
  <c r="J22" i="49"/>
  <c r="J21" i="49"/>
  <c r="J20" i="49"/>
  <c r="J18" i="49"/>
  <c r="J16" i="49"/>
  <c r="H18" i="49"/>
  <c r="J15" i="49"/>
  <c r="X13" i="49"/>
  <c r="Z15" i="49"/>
  <c r="X21" i="49"/>
  <c r="L15" i="50"/>
  <c r="X20" i="50"/>
  <c r="Z33" i="50"/>
  <c r="J20" i="52"/>
  <c r="J18" i="52"/>
  <c r="J16" i="52"/>
  <c r="N12" i="52"/>
  <c r="J24" i="52"/>
  <c r="J34" i="52"/>
  <c r="J15" i="52"/>
  <c r="J31" i="52"/>
  <c r="J25" i="52"/>
  <c r="H18" i="52"/>
  <c r="J27" i="52"/>
  <c r="J36" i="52"/>
  <c r="J33" i="52"/>
  <c r="J21" i="52"/>
  <c r="J22" i="52"/>
  <c r="J29" i="52"/>
  <c r="L16" i="52"/>
  <c r="X21" i="52"/>
  <c r="Z22" i="52"/>
  <c r="Z29" i="53"/>
  <c r="Z34" i="53"/>
  <c r="X15" i="43"/>
  <c r="N25" i="43"/>
  <c r="N29" i="43"/>
  <c r="N33" i="43"/>
  <c r="N34" i="43"/>
  <c r="N13" i="44"/>
  <c r="N22" i="44"/>
  <c r="N24" i="44"/>
  <c r="L12" i="46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D18" i="46"/>
  <c r="F15" i="46"/>
  <c r="X16" i="46"/>
  <c r="X20" i="46"/>
  <c r="X15" i="47"/>
  <c r="N25" i="47"/>
  <c r="N29" i="47"/>
  <c r="N33" i="47"/>
  <c r="N34" i="47"/>
  <c r="Z13" i="49"/>
  <c r="Z16" i="49"/>
  <c r="Z20" i="49"/>
  <c r="X22" i="49"/>
  <c r="X24" i="49"/>
  <c r="R24" i="50"/>
  <c r="R22" i="50"/>
  <c r="R15" i="50"/>
  <c r="R27" i="50"/>
  <c r="R16" i="50"/>
  <c r="R29" i="50"/>
  <c r="R18" i="50"/>
  <c r="X12" i="50"/>
  <c r="P18" i="50"/>
  <c r="R31" i="50"/>
  <c r="R20" i="50"/>
  <c r="R21" i="50"/>
  <c r="R33" i="50"/>
  <c r="R34" i="50"/>
  <c r="R36" i="50"/>
  <c r="R25" i="50"/>
  <c r="N16" i="50"/>
  <c r="L15" i="52"/>
  <c r="X20" i="52"/>
  <c r="L15" i="53"/>
  <c r="N21" i="53"/>
  <c r="L25" i="53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F20" i="47"/>
  <c r="F18" i="47"/>
  <c r="F16" i="47"/>
  <c r="D18" i="47"/>
  <c r="F15" i="47"/>
  <c r="X16" i="47"/>
  <c r="X20" i="47"/>
  <c r="Z21" i="49"/>
  <c r="X25" i="49"/>
  <c r="X29" i="49"/>
  <c r="X33" i="49"/>
  <c r="X34" i="49"/>
  <c r="V20" i="50"/>
  <c r="V18" i="50"/>
  <c r="V16" i="50"/>
  <c r="V29" i="50"/>
  <c r="T18" i="50"/>
  <c r="Z12" i="50"/>
  <c r="V31" i="50"/>
  <c r="V33" i="50"/>
  <c r="V21" i="50"/>
  <c r="V22" i="50"/>
  <c r="V34" i="50"/>
  <c r="V24" i="50"/>
  <c r="V36" i="50"/>
  <c r="V25" i="50"/>
  <c r="V15" i="50"/>
  <c r="V27" i="50"/>
  <c r="N15" i="50"/>
  <c r="Z20" i="50"/>
  <c r="R24" i="52"/>
  <c r="R22" i="52"/>
  <c r="R34" i="52"/>
  <c r="R16" i="52"/>
  <c r="R31" i="52"/>
  <c r="R25" i="52"/>
  <c r="R18" i="52"/>
  <c r="X12" i="52"/>
  <c r="P18" i="52"/>
  <c r="R20" i="52"/>
  <c r="R27" i="52"/>
  <c r="R21" i="52"/>
  <c r="R36" i="52"/>
  <c r="R33" i="52"/>
  <c r="R29" i="52"/>
  <c r="R15" i="52"/>
  <c r="N16" i="52"/>
  <c r="N25" i="52"/>
  <c r="N15" i="53"/>
  <c r="N25" i="53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H18" i="47"/>
  <c r="J15" i="47"/>
  <c r="X13" i="47"/>
  <c r="Z15" i="47"/>
  <c r="X21" i="47"/>
  <c r="R36" i="49"/>
  <c r="X12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Z22" i="49"/>
  <c r="Z24" i="49"/>
  <c r="L24" i="50"/>
  <c r="N25" i="50"/>
  <c r="V20" i="52"/>
  <c r="V18" i="52"/>
  <c r="V16" i="52"/>
  <c r="T18" i="52"/>
  <c r="Z12" i="52"/>
  <c r="V27" i="52"/>
  <c r="V21" i="52"/>
  <c r="V36" i="52"/>
  <c r="V33" i="52"/>
  <c r="V22" i="52"/>
  <c r="V29" i="52"/>
  <c r="V24" i="52"/>
  <c r="V15" i="52"/>
  <c r="V34" i="52"/>
  <c r="V31" i="52"/>
  <c r="V25" i="52"/>
  <c r="N15" i="52"/>
  <c r="Z20" i="52"/>
  <c r="L24" i="52"/>
  <c r="Z21" i="53"/>
  <c r="X25" i="53"/>
  <c r="Z21" i="46"/>
  <c r="X25" i="46"/>
  <c r="X29" i="46"/>
  <c r="X33" i="46"/>
  <c r="X34" i="46"/>
  <c r="Z13" i="47"/>
  <c r="Z16" i="47"/>
  <c r="Z20" i="47"/>
  <c r="X22" i="47"/>
  <c r="X24" i="47"/>
  <c r="Z12" i="49"/>
  <c r="V34" i="49"/>
  <c r="V33" i="49"/>
  <c r="V31" i="49"/>
  <c r="V29" i="49"/>
  <c r="V27" i="49"/>
  <c r="V25" i="49"/>
  <c r="V36" i="49"/>
  <c r="V24" i="49"/>
  <c r="V22" i="49"/>
  <c r="V21" i="49"/>
  <c r="V20" i="49"/>
  <c r="V18" i="49"/>
  <c r="V16" i="49"/>
  <c r="T18" i="49"/>
  <c r="V15" i="49"/>
  <c r="L15" i="49"/>
  <c r="Z25" i="49"/>
  <c r="Z29" i="49"/>
  <c r="Z33" i="49"/>
  <c r="Z34" i="49"/>
  <c r="X16" i="50"/>
  <c r="N24" i="50"/>
  <c r="Z29" i="50"/>
  <c r="N24" i="52"/>
  <c r="X15" i="53"/>
  <c r="Z25" i="53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X12" i="46"/>
  <c r="Z22" i="46"/>
  <c r="Z24" i="46"/>
  <c r="Z21" i="47"/>
  <c r="X25" i="47"/>
  <c r="X29" i="47"/>
  <c r="X33" i="47"/>
  <c r="X34" i="47"/>
  <c r="L16" i="49"/>
  <c r="L20" i="49"/>
  <c r="X15" i="50"/>
  <c r="L22" i="50"/>
  <c r="N34" i="50"/>
  <c r="X16" i="52"/>
  <c r="J36" i="53"/>
  <c r="J34" i="53"/>
  <c r="J33" i="53"/>
  <c r="J31" i="53"/>
  <c r="J29" i="53"/>
  <c r="J27" i="53"/>
  <c r="J25" i="53"/>
  <c r="J21" i="53"/>
  <c r="H18" i="53"/>
  <c r="J15" i="53"/>
  <c r="J22" i="53"/>
  <c r="N12" i="53"/>
  <c r="J18" i="53"/>
  <c r="J24" i="53"/>
  <c r="J20" i="53"/>
  <c r="J16" i="53"/>
  <c r="Z15" i="53"/>
  <c r="L33" i="53"/>
  <c r="V24" i="46"/>
  <c r="V22" i="46"/>
  <c r="V21" i="46"/>
  <c r="V20" i="46"/>
  <c r="V18" i="46"/>
  <c r="V16" i="46"/>
  <c r="T18" i="46"/>
  <c r="V15" i="46"/>
  <c r="Z12" i="46"/>
  <c r="V36" i="46"/>
  <c r="V34" i="46"/>
  <c r="V33" i="46"/>
  <c r="V31" i="46"/>
  <c r="V29" i="46"/>
  <c r="V27" i="46"/>
  <c r="V25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N15" i="49"/>
  <c r="L21" i="49"/>
  <c r="N13" i="50"/>
  <c r="Z16" i="50"/>
  <c r="L21" i="50"/>
  <c r="N22" i="50"/>
  <c r="X15" i="52"/>
  <c r="L22" i="52"/>
  <c r="Z25" i="52"/>
  <c r="N29" i="52"/>
  <c r="N33" i="53"/>
  <c r="L13" i="50"/>
  <c r="N21" i="50"/>
  <c r="L25" i="50"/>
  <c r="L29" i="50"/>
  <c r="L33" i="50"/>
  <c r="L34" i="50"/>
  <c r="Z21" i="52"/>
  <c r="X25" i="52"/>
  <c r="X29" i="52"/>
  <c r="X33" i="52"/>
  <c r="X34" i="52"/>
  <c r="Z13" i="53"/>
  <c r="Z16" i="53"/>
  <c r="Z20" i="53"/>
  <c r="X22" i="53"/>
  <c r="X24" i="53"/>
  <c r="Z33" i="52"/>
  <c r="Z34" i="52"/>
  <c r="R20" i="53"/>
  <c r="P18" i="53"/>
  <c r="R15" i="53"/>
  <c r="X12" i="53"/>
  <c r="R36" i="53"/>
  <c r="R34" i="53"/>
  <c r="R33" i="53"/>
  <c r="R31" i="53"/>
  <c r="R29" i="53"/>
  <c r="R27" i="53"/>
  <c r="R25" i="53"/>
  <c r="R21" i="53"/>
  <c r="R18" i="53"/>
  <c r="R24" i="53"/>
  <c r="R16" i="53"/>
  <c r="R22" i="53"/>
  <c r="Z22" i="53"/>
  <c r="Z24" i="53"/>
  <c r="L16" i="53"/>
  <c r="L20" i="53"/>
  <c r="L21" i="53"/>
  <c r="Z21" i="50"/>
  <c r="X25" i="50"/>
  <c r="X29" i="50"/>
  <c r="X33" i="50"/>
  <c r="X34" i="50"/>
  <c r="L13" i="52"/>
  <c r="N21" i="52"/>
  <c r="L25" i="52"/>
  <c r="L29" i="52"/>
  <c r="L33" i="52"/>
  <c r="L34" i="52"/>
  <c r="N16" i="53"/>
  <c r="N20" i="53"/>
  <c r="L22" i="53"/>
  <c r="L24" i="53"/>
  <c r="N33" i="52"/>
  <c r="N34" i="52"/>
  <c r="N13" i="53"/>
  <c r="N22" i="53"/>
  <c r="N24" i="53"/>
  <c r="F36" i="53"/>
  <c r="F34" i="53"/>
  <c r="F33" i="53"/>
  <c r="F31" i="53"/>
  <c r="F29" i="53"/>
  <c r="F27" i="53"/>
  <c r="F25" i="53"/>
  <c r="F21" i="53"/>
  <c r="D18" i="53"/>
  <c r="F15" i="53"/>
  <c r="L12" i="53"/>
  <c r="F22" i="53"/>
  <c r="F18" i="53"/>
  <c r="F24" i="53"/>
  <c r="F20" i="53"/>
  <c r="F16" i="53"/>
  <c r="X16" i="53"/>
  <c r="X20" i="53"/>
  <c r="X21" i="53"/>
  <c r="F36" i="110"/>
  <c r="F34" i="110"/>
  <c r="F33" i="110"/>
  <c r="F31" i="110"/>
  <c r="F29" i="110"/>
  <c r="F27" i="110"/>
  <c r="F25" i="110"/>
  <c r="F24" i="110"/>
  <c r="F18" i="110"/>
  <c r="D18" i="110"/>
  <c r="F20" i="110"/>
  <c r="F21" i="110"/>
  <c r="L12" i="110"/>
  <c r="F22" i="110"/>
  <c r="F15" i="110"/>
  <c r="F16" i="110"/>
  <c r="N16" i="110"/>
  <c r="L22" i="110"/>
  <c r="X20" i="112"/>
  <c r="Z13" i="110"/>
  <c r="Z20" i="110"/>
  <c r="L33" i="110"/>
  <c r="X24" i="111"/>
  <c r="J36" i="110"/>
  <c r="J34" i="110"/>
  <c r="J33" i="110"/>
  <c r="J31" i="110"/>
  <c r="J29" i="110"/>
  <c r="J27" i="110"/>
  <c r="J21" i="110"/>
  <c r="N12" i="110"/>
  <c r="J18" i="110"/>
  <c r="J25" i="110"/>
  <c r="H18" i="110"/>
  <c r="J20" i="110"/>
  <c r="J15" i="110"/>
  <c r="J22" i="110"/>
  <c r="J16" i="110"/>
  <c r="J24" i="110"/>
  <c r="N15" i="110"/>
  <c r="L21" i="110"/>
  <c r="X24" i="110"/>
  <c r="R24" i="110"/>
  <c r="R22" i="110"/>
  <c r="R31" i="110"/>
  <c r="R20" i="110"/>
  <c r="R29" i="110"/>
  <c r="R21" i="110"/>
  <c r="R27" i="110"/>
  <c r="R15" i="110"/>
  <c r="R16" i="110"/>
  <c r="X12" i="110"/>
  <c r="R36" i="110"/>
  <c r="R34" i="110"/>
  <c r="R18" i="110"/>
  <c r="R33" i="110"/>
  <c r="R25" i="110"/>
  <c r="P18" i="110"/>
  <c r="X16" i="110"/>
  <c r="Z24" i="110"/>
  <c r="L20" i="110"/>
  <c r="N21" i="110"/>
  <c r="Z13" i="111"/>
  <c r="X15" i="110"/>
  <c r="Z16" i="110"/>
  <c r="X22" i="110"/>
  <c r="N20" i="110"/>
  <c r="Z22" i="110"/>
  <c r="Z16" i="111"/>
  <c r="L13" i="110"/>
  <c r="Z15" i="110"/>
  <c r="X21" i="110"/>
  <c r="L25" i="110"/>
  <c r="L29" i="110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N25" i="110"/>
  <c r="Z20" i="111"/>
  <c r="X20" i="110"/>
  <c r="L24" i="110"/>
  <c r="X13" i="110"/>
  <c r="L16" i="110"/>
  <c r="X22" i="111"/>
  <c r="X16" i="112"/>
  <c r="Z21" i="110"/>
  <c r="X25" i="110"/>
  <c r="X29" i="110"/>
  <c r="X33" i="110"/>
  <c r="X34" i="110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13" i="111"/>
  <c r="Z15" i="111"/>
  <c r="X21" i="111"/>
  <c r="X15" i="112"/>
  <c r="N25" i="112"/>
  <c r="N29" i="112"/>
  <c r="N33" i="112"/>
  <c r="N34" i="112"/>
  <c r="V36" i="110"/>
  <c r="V34" i="110"/>
  <c r="V33" i="110"/>
  <c r="V31" i="110"/>
  <c r="V29" i="110"/>
  <c r="V27" i="110"/>
  <c r="V24" i="110"/>
  <c r="V22" i="110"/>
  <c r="V20" i="110"/>
  <c r="V18" i="110"/>
  <c r="V16" i="110"/>
  <c r="V21" i="110"/>
  <c r="V15" i="110"/>
  <c r="Z12" i="110"/>
  <c r="T18" i="110"/>
  <c r="V25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24" i="112"/>
  <c r="J22" i="112"/>
  <c r="J36" i="112"/>
  <c r="J34" i="112"/>
  <c r="J33" i="112"/>
  <c r="J31" i="112"/>
  <c r="J29" i="112"/>
  <c r="J27" i="112"/>
  <c r="J25" i="112"/>
  <c r="X13" i="112"/>
  <c r="Z15" i="112"/>
  <c r="X21" i="112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0" i="111"/>
  <c r="R18" i="111"/>
  <c r="R16" i="111"/>
  <c r="R21" i="111"/>
  <c r="Z22" i="111"/>
  <c r="Z24" i="111"/>
  <c r="Z13" i="112"/>
  <c r="Z16" i="112"/>
  <c r="Z20" i="112"/>
  <c r="X22" i="112"/>
  <c r="X24" i="112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R15" i="112"/>
  <c r="P18" i="112"/>
  <c r="Z22" i="112"/>
  <c r="Z24" i="112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N29" i="110"/>
  <c r="N33" i="110"/>
  <c r="N34" i="110"/>
  <c r="L13" i="111"/>
  <c r="N21" i="111"/>
  <c r="L25" i="111"/>
  <c r="L29" i="111"/>
  <c r="L33" i="111"/>
  <c r="L34" i="111"/>
  <c r="N15" i="112"/>
  <c r="L21" i="112"/>
  <c r="N13" i="111"/>
  <c r="N22" i="111"/>
  <c r="N24" i="111"/>
  <c r="N16" i="112"/>
  <c r="N20" i="112"/>
  <c r="L22" i="112"/>
  <c r="L24" i="112"/>
  <c r="X15" i="111"/>
  <c r="N25" i="111"/>
  <c r="N29" i="111"/>
  <c r="N33" i="111"/>
  <c r="N34" i="111"/>
  <c r="L13" i="112"/>
  <c r="N21" i="112"/>
  <c r="L25" i="112"/>
  <c r="L29" i="112"/>
  <c r="L33" i="112"/>
  <c r="L34" i="112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R233" i="3"/>
  <c r="R217" i="3"/>
  <c r="R213" i="3"/>
  <c r="R209" i="3"/>
  <c r="R197" i="3"/>
  <c r="R234" i="3"/>
  <c r="R225" i="3"/>
  <c r="R224" i="3"/>
  <c r="R192" i="3"/>
  <c r="R185" i="3"/>
  <c r="R184" i="3"/>
  <c r="R235" i="3"/>
  <c r="R203" i="3"/>
  <c r="R175" i="3"/>
  <c r="R168" i="3"/>
  <c r="R167" i="3"/>
  <c r="R159" i="3"/>
  <c r="R152" i="3"/>
  <c r="R151" i="3"/>
  <c r="R236" i="3"/>
  <c r="R226" i="3"/>
  <c r="R218" i="3"/>
  <c r="R214" i="3"/>
  <c r="R210" i="3"/>
  <c r="R199" i="3"/>
  <c r="R198" i="3"/>
  <c r="R187" i="3"/>
  <c r="R186" i="3"/>
  <c r="R237" i="3"/>
  <c r="R194" i="3"/>
  <c r="R193" i="3"/>
  <c r="R238" i="3"/>
  <c r="R205" i="3"/>
  <c r="R204" i="3"/>
  <c r="R200" i="3"/>
  <c r="R189" i="3"/>
  <c r="R188" i="3"/>
  <c r="R177" i="3"/>
  <c r="R176" i="3"/>
  <c r="R161" i="3"/>
  <c r="R160" i="3"/>
  <c r="R120" i="3"/>
  <c r="R116" i="3"/>
  <c r="R112" i="3"/>
  <c r="R108" i="3"/>
  <c r="R104" i="3"/>
  <c r="R100" i="3"/>
  <c r="R96" i="3"/>
  <c r="R239" i="3"/>
  <c r="R227" i="3"/>
  <c r="R220" i="3"/>
  <c r="R219" i="3"/>
  <c r="R215" i="3"/>
  <c r="R211" i="3"/>
  <c r="R195" i="3"/>
  <c r="R206" i="3"/>
  <c r="R190" i="3"/>
  <c r="R179" i="3"/>
  <c r="R178" i="3"/>
  <c r="R163" i="3"/>
  <c r="R162" i="3"/>
  <c r="R155" i="3"/>
  <c r="R154" i="3"/>
  <c r="R221" i="3"/>
  <c r="R201" i="3"/>
  <c r="R229" i="3"/>
  <c r="R228" i="3"/>
  <c r="R216" i="3"/>
  <c r="R212" i="3"/>
  <c r="R196" i="3"/>
  <c r="R181" i="3"/>
  <c r="R180" i="3"/>
  <c r="R173" i="3"/>
  <c r="R172" i="3"/>
  <c r="R164" i="3"/>
  <c r="R157" i="3"/>
  <c r="R156" i="3"/>
  <c r="R148" i="3"/>
  <c r="R243" i="3"/>
  <c r="R208" i="3"/>
  <c r="R207" i="3"/>
  <c r="R248" i="3"/>
  <c r="R247" i="3"/>
  <c r="R230" i="3"/>
  <c r="R223" i="3"/>
  <c r="R222" i="3"/>
  <c r="R202" i="3"/>
  <c r="R183" i="3"/>
  <c r="R182" i="3"/>
  <c r="R174" i="3"/>
  <c r="R158" i="3"/>
  <c r="R122" i="3"/>
  <c r="R118" i="3"/>
  <c r="R114" i="3"/>
  <c r="R110" i="3"/>
  <c r="R106" i="3"/>
  <c r="R102" i="3"/>
  <c r="R98" i="3"/>
  <c r="R94" i="3"/>
  <c r="R169" i="3"/>
  <c r="R149" i="3"/>
  <c r="P125" i="3"/>
  <c r="R137" i="3"/>
  <c r="R127" i="3"/>
  <c r="R121" i="3"/>
  <c r="R115" i="3"/>
  <c r="R103" i="3"/>
  <c r="R97" i="3"/>
  <c r="R153" i="3"/>
  <c r="R150" i="3"/>
  <c r="R134" i="3"/>
  <c r="R131" i="3"/>
  <c r="R128" i="3"/>
  <c r="R170" i="3"/>
  <c r="R147" i="3"/>
  <c r="R144" i="3"/>
  <c r="R141" i="3"/>
  <c r="R135" i="3"/>
  <c r="R119" i="3"/>
  <c r="R113" i="3"/>
  <c r="R107" i="3"/>
  <c r="R101" i="3"/>
  <c r="R95" i="3"/>
  <c r="R92" i="3"/>
  <c r="R191" i="3"/>
  <c r="R165" i="3"/>
  <c r="R138" i="3"/>
  <c r="R132" i="3"/>
  <c r="R129" i="3"/>
  <c r="R145" i="3"/>
  <c r="R142" i="3"/>
  <c r="R139" i="3"/>
  <c r="R93" i="3"/>
  <c r="X12" i="3"/>
  <c r="R166" i="3"/>
  <c r="R136" i="3"/>
  <c r="R123" i="3"/>
  <c r="R117" i="3"/>
  <c r="R111" i="3"/>
  <c r="R105" i="3"/>
  <c r="R99" i="3"/>
  <c r="R171" i="3"/>
  <c r="R133" i="3"/>
  <c r="R130" i="3"/>
  <c r="R146" i="3"/>
  <c r="R143" i="3"/>
  <c r="R140" i="3"/>
  <c r="R109" i="3"/>
  <c r="X13" i="3"/>
  <c r="Z13" i="3" s="1"/>
  <c r="L12" i="3"/>
  <c r="Z127" i="3"/>
  <c r="V128" i="3"/>
  <c r="J136" i="3"/>
  <c r="V137" i="3"/>
  <c r="J152" i="3"/>
  <c r="N12" i="3"/>
  <c r="F92" i="3"/>
  <c r="F93" i="3"/>
  <c r="J96" i="3"/>
  <c r="J102" i="3"/>
  <c r="J108" i="3"/>
  <c r="J114" i="3"/>
  <c r="J120" i="3"/>
  <c r="V127" i="3"/>
  <c r="V140" i="3"/>
  <c r="J142" i="3"/>
  <c r="F145" i="3"/>
  <c r="J148" i="3"/>
  <c r="N157" i="3"/>
  <c r="N161" i="3"/>
  <c r="Z173" i="3"/>
  <c r="J178" i="3"/>
  <c r="J184" i="3"/>
  <c r="V190" i="3"/>
  <c r="F195" i="3"/>
  <c r="N19" i="9"/>
  <c r="T125" i="3"/>
  <c r="J145" i="3"/>
  <c r="J154" i="3"/>
  <c r="F159" i="3"/>
  <c r="J186" i="3"/>
  <c r="V234" i="3"/>
  <c r="V224" i="3"/>
  <c r="V192" i="3"/>
  <c r="V184" i="3"/>
  <c r="V235" i="3"/>
  <c r="V203" i="3"/>
  <c r="V199" i="3"/>
  <c r="V187" i="3"/>
  <c r="V175" i="3"/>
  <c r="V167" i="3"/>
  <c r="V159" i="3"/>
  <c r="V151" i="3"/>
  <c r="V236" i="3"/>
  <c r="V226" i="3"/>
  <c r="V218" i="3"/>
  <c r="V214" i="3"/>
  <c r="V210" i="3"/>
  <c r="V198" i="3"/>
  <c r="V194" i="3"/>
  <c r="V186" i="3"/>
  <c r="V170" i="3"/>
  <c r="V237" i="3"/>
  <c r="V205" i="3"/>
  <c r="V193" i="3"/>
  <c r="V189" i="3"/>
  <c r="V177" i="3"/>
  <c r="V169" i="3"/>
  <c r="V238" i="3"/>
  <c r="V220" i="3"/>
  <c r="V204" i="3"/>
  <c r="V200" i="3"/>
  <c r="V188" i="3"/>
  <c r="V239" i="3"/>
  <c r="V227" i="3"/>
  <c r="V219" i="3"/>
  <c r="V215" i="3"/>
  <c r="V211" i="3"/>
  <c r="V195" i="3"/>
  <c r="V179" i="3"/>
  <c r="V171" i="3"/>
  <c r="V163" i="3"/>
  <c r="V155" i="3"/>
  <c r="V147" i="3"/>
  <c r="V143" i="3"/>
  <c r="V139" i="3"/>
  <c r="V206" i="3"/>
  <c r="V229" i="3"/>
  <c r="V221" i="3"/>
  <c r="V201" i="3"/>
  <c r="V181" i="3"/>
  <c r="V173" i="3"/>
  <c r="V157" i="3"/>
  <c r="V228" i="3"/>
  <c r="V216" i="3"/>
  <c r="V212" i="3"/>
  <c r="V208" i="3"/>
  <c r="V196" i="3"/>
  <c r="V180" i="3"/>
  <c r="V172" i="3"/>
  <c r="V164" i="3"/>
  <c r="V156" i="3"/>
  <c r="V248" i="3"/>
  <c r="V247" i="3"/>
  <c r="V243" i="3"/>
  <c r="V223" i="3"/>
  <c r="V207" i="3"/>
  <c r="V191" i="3"/>
  <c r="V183" i="3"/>
  <c r="V232" i="3"/>
  <c r="V230" i="3"/>
  <c r="V222" i="3"/>
  <c r="V233" i="3"/>
  <c r="V225" i="3"/>
  <c r="V217" i="3"/>
  <c r="V213" i="3"/>
  <c r="V209" i="3"/>
  <c r="V197" i="3"/>
  <c r="V185" i="3"/>
  <c r="V165" i="3"/>
  <c r="V149" i="3"/>
  <c r="V145" i="3"/>
  <c r="V141" i="3"/>
  <c r="J92" i="3"/>
  <c r="F129" i="3"/>
  <c r="V130" i="3"/>
  <c r="J132" i="3"/>
  <c r="V133" i="3"/>
  <c r="F135" i="3"/>
  <c r="J138" i="3"/>
  <c r="Z161" i="3"/>
  <c r="L163" i="3"/>
  <c r="N163" i="3" s="1"/>
  <c r="F165" i="3"/>
  <c r="N247" i="3"/>
  <c r="F95" i="3"/>
  <c r="V96" i="3"/>
  <c r="F98" i="3"/>
  <c r="V99" i="3"/>
  <c r="F101" i="3"/>
  <c r="V102" i="3"/>
  <c r="F104" i="3"/>
  <c r="V105" i="3"/>
  <c r="F107" i="3"/>
  <c r="V108" i="3"/>
  <c r="F110" i="3"/>
  <c r="V111" i="3"/>
  <c r="F113" i="3"/>
  <c r="V114" i="3"/>
  <c r="F116" i="3"/>
  <c r="V117" i="3"/>
  <c r="F119" i="3"/>
  <c r="V120" i="3"/>
  <c r="F122" i="3"/>
  <c r="V123" i="3"/>
  <c r="J129" i="3"/>
  <c r="J135" i="3"/>
  <c r="V136" i="3"/>
  <c r="V148" i="3"/>
  <c r="F151" i="3"/>
  <c r="V152" i="3"/>
  <c r="Z157" i="3"/>
  <c r="V161" i="3"/>
  <c r="J165" i="3"/>
  <c r="J168" i="3"/>
  <c r="F170" i="3"/>
  <c r="V178" i="3"/>
  <c r="V182" i="3"/>
  <c r="Z28" i="6"/>
  <c r="N76" i="9"/>
  <c r="J98" i="3"/>
  <c r="F128" i="3"/>
  <c r="F141" i="3"/>
  <c r="V142" i="3"/>
  <c r="J144" i="3"/>
  <c r="V154" i="3"/>
  <c r="J156" i="3"/>
  <c r="V166" i="3"/>
  <c r="V176" i="3"/>
  <c r="Z247" i="3"/>
  <c r="Z71" i="9"/>
  <c r="F221" i="3"/>
  <c r="F220" i="3"/>
  <c r="F201" i="3"/>
  <c r="F228" i="3"/>
  <c r="F216" i="3"/>
  <c r="F212" i="3"/>
  <c r="F196" i="3"/>
  <c r="F180" i="3"/>
  <c r="F179" i="3"/>
  <c r="F172" i="3"/>
  <c r="F164" i="3"/>
  <c r="F163" i="3"/>
  <c r="F156" i="3"/>
  <c r="F155" i="3"/>
  <c r="F148" i="3"/>
  <c r="F144" i="3"/>
  <c r="F140" i="3"/>
  <c r="F139" i="3"/>
  <c r="F243" i="3"/>
  <c r="F207" i="3"/>
  <c r="F191" i="3"/>
  <c r="F230" i="3"/>
  <c r="F229" i="3"/>
  <c r="F222" i="3"/>
  <c r="F202" i="3"/>
  <c r="F182" i="3"/>
  <c r="F181" i="3"/>
  <c r="F174" i="3"/>
  <c r="F173" i="3"/>
  <c r="F217" i="3"/>
  <c r="F213" i="3"/>
  <c r="F209" i="3"/>
  <c r="F208" i="3"/>
  <c r="F197" i="3"/>
  <c r="F248" i="3"/>
  <c r="F247" i="3"/>
  <c r="F233" i="3"/>
  <c r="F224" i="3"/>
  <c r="F223" i="3"/>
  <c r="F192" i="3"/>
  <c r="F184" i="3"/>
  <c r="F183" i="3"/>
  <c r="F136" i="3"/>
  <c r="F132" i="3"/>
  <c r="F234" i="3"/>
  <c r="F203" i="3"/>
  <c r="F235" i="3"/>
  <c r="F226" i="3"/>
  <c r="F225" i="3"/>
  <c r="F218" i="3"/>
  <c r="F214" i="3"/>
  <c r="F210" i="3"/>
  <c r="F198" i="3"/>
  <c r="F186" i="3"/>
  <c r="F185" i="3"/>
  <c r="F236" i="3"/>
  <c r="F193" i="3"/>
  <c r="F169" i="3"/>
  <c r="F168" i="3"/>
  <c r="F237" i="3"/>
  <c r="F204" i="3"/>
  <c r="F200" i="3"/>
  <c r="F199" i="3"/>
  <c r="F188" i="3"/>
  <c r="F187" i="3"/>
  <c r="F176" i="3"/>
  <c r="F160" i="3"/>
  <c r="F238" i="3"/>
  <c r="F227" i="3"/>
  <c r="F219" i="3"/>
  <c r="F215" i="3"/>
  <c r="F211" i="3"/>
  <c r="F239" i="3"/>
  <c r="F206" i="3"/>
  <c r="F205" i="3"/>
  <c r="F190" i="3"/>
  <c r="F189" i="3"/>
  <c r="F178" i="3"/>
  <c r="F177" i="3"/>
  <c r="F162" i="3"/>
  <c r="F161" i="3"/>
  <c r="F154" i="3"/>
  <c r="F138" i="3"/>
  <c r="F134" i="3"/>
  <c r="F130" i="3"/>
  <c r="V93" i="3"/>
  <c r="J104" i="3"/>
  <c r="J110" i="3"/>
  <c r="J122" i="3"/>
  <c r="F127" i="3"/>
  <c r="J141" i="3"/>
  <c r="F147" i="3"/>
  <c r="J162" i="3"/>
  <c r="X163" i="3"/>
  <c r="Z163" i="3" s="1"/>
  <c r="V174" i="3"/>
  <c r="F194" i="3"/>
  <c r="N43" i="9"/>
  <c r="Z12" i="3"/>
  <c r="J116" i="3"/>
  <c r="D125" i="3"/>
  <c r="N127" i="3"/>
  <c r="J128" i="3"/>
  <c r="V129" i="3"/>
  <c r="F131" i="3"/>
  <c r="V132" i="3"/>
  <c r="J134" i="3"/>
  <c r="V138" i="3"/>
  <c r="J150" i="3"/>
  <c r="F153" i="3"/>
  <c r="F158" i="3"/>
  <c r="N189" i="3"/>
  <c r="N223" i="3"/>
  <c r="N248" i="3"/>
  <c r="F94" i="3"/>
  <c r="V95" i="3"/>
  <c r="F97" i="3"/>
  <c r="V98" i="3"/>
  <c r="F100" i="3"/>
  <c r="V101" i="3"/>
  <c r="F103" i="3"/>
  <c r="V104" i="3"/>
  <c r="F106" i="3"/>
  <c r="V107" i="3"/>
  <c r="F109" i="3"/>
  <c r="V110" i="3"/>
  <c r="F112" i="3"/>
  <c r="V113" i="3"/>
  <c r="F115" i="3"/>
  <c r="V116" i="3"/>
  <c r="F118" i="3"/>
  <c r="V119" i="3"/>
  <c r="F121" i="3"/>
  <c r="V122" i="3"/>
  <c r="J127" i="3"/>
  <c r="J131" i="3"/>
  <c r="V135" i="3"/>
  <c r="F137" i="3"/>
  <c r="F149" i="3"/>
  <c r="J153" i="3"/>
  <c r="V168" i="3"/>
  <c r="D106" i="9"/>
  <c r="V92" i="3"/>
  <c r="J94" i="3"/>
  <c r="J100" i="3"/>
  <c r="J106" i="3"/>
  <c r="J112" i="3"/>
  <c r="J118" i="3"/>
  <c r="H125" i="3"/>
  <c r="X128" i="3"/>
  <c r="Z128" i="3" s="1"/>
  <c r="J137" i="3"/>
  <c r="J140" i="3"/>
  <c r="F143" i="3"/>
  <c r="V144" i="3"/>
  <c r="F146" i="3"/>
  <c r="J149" i="3"/>
  <c r="V160" i="3"/>
  <c r="V162" i="3"/>
  <c r="J164" i="3"/>
  <c r="F167" i="3"/>
  <c r="N177" i="3"/>
  <c r="N181" i="3"/>
  <c r="L185" i="3"/>
  <c r="N185" i="3" s="1"/>
  <c r="N187" i="3"/>
  <c r="Z189" i="3"/>
  <c r="N199" i="3"/>
  <c r="N205" i="3"/>
  <c r="Z223" i="3"/>
  <c r="Z248" i="3"/>
  <c r="P22" i="6"/>
  <c r="J125" i="3"/>
  <c r="J143" i="3"/>
  <c r="F152" i="3"/>
  <c r="V158" i="3"/>
  <c r="F166" i="3"/>
  <c r="F175" i="3"/>
  <c r="X183" i="3"/>
  <c r="Z183" i="3" s="1"/>
  <c r="V202" i="3"/>
  <c r="J228" i="3"/>
  <c r="J216" i="3"/>
  <c r="J212" i="3"/>
  <c r="J196" i="3"/>
  <c r="J180" i="3"/>
  <c r="J172" i="3"/>
  <c r="J243" i="3"/>
  <c r="J229" i="3"/>
  <c r="J207" i="3"/>
  <c r="J191" i="3"/>
  <c r="J181" i="3"/>
  <c r="J173" i="3"/>
  <c r="J157" i="3"/>
  <c r="J230" i="3"/>
  <c r="J222" i="3"/>
  <c r="J208" i="3"/>
  <c r="J202" i="3"/>
  <c r="J182" i="3"/>
  <c r="J174" i="3"/>
  <c r="J158" i="3"/>
  <c r="J248" i="3"/>
  <c r="J247" i="3"/>
  <c r="J223" i="3"/>
  <c r="J217" i="3"/>
  <c r="J213" i="3"/>
  <c r="J209" i="3"/>
  <c r="J197" i="3"/>
  <c r="J183" i="3"/>
  <c r="J233" i="3"/>
  <c r="J232" i="3"/>
  <c r="J224" i="3"/>
  <c r="J192" i="3"/>
  <c r="J234" i="3"/>
  <c r="J225" i="3"/>
  <c r="J203" i="3"/>
  <c r="J185" i="3"/>
  <c r="J175" i="3"/>
  <c r="J167" i="3"/>
  <c r="J159" i="3"/>
  <c r="J151" i="3"/>
  <c r="J123" i="3"/>
  <c r="J119" i="3"/>
  <c r="J115" i="3"/>
  <c r="J111" i="3"/>
  <c r="J107" i="3"/>
  <c r="J103" i="3"/>
  <c r="J99" i="3"/>
  <c r="J95" i="3"/>
  <c r="J235" i="3"/>
  <c r="J226" i="3"/>
  <c r="J218" i="3"/>
  <c r="J214" i="3"/>
  <c r="J210" i="3"/>
  <c r="J198" i="3"/>
  <c r="J236" i="3"/>
  <c r="J199" i="3"/>
  <c r="J193" i="3"/>
  <c r="J187" i="3"/>
  <c r="J169" i="3"/>
  <c r="J237" i="3"/>
  <c r="J204" i="3"/>
  <c r="J200" i="3"/>
  <c r="J194" i="3"/>
  <c r="J188" i="3"/>
  <c r="J176" i="3"/>
  <c r="J170" i="3"/>
  <c r="J160" i="3"/>
  <c r="J238" i="3"/>
  <c r="J227" i="3"/>
  <c r="J219" i="3"/>
  <c r="J215" i="3"/>
  <c r="J211" i="3"/>
  <c r="J205" i="3"/>
  <c r="J195" i="3"/>
  <c r="J189" i="3"/>
  <c r="J177" i="3"/>
  <c r="J171" i="3"/>
  <c r="J161" i="3"/>
  <c r="J147" i="3"/>
  <c r="J239" i="3"/>
  <c r="J220" i="3"/>
  <c r="J206" i="3"/>
  <c r="J221" i="3"/>
  <c r="J201" i="3"/>
  <c r="J179" i="3"/>
  <c r="J163" i="3"/>
  <c r="J155" i="3"/>
  <c r="J139" i="3"/>
  <c r="J121" i="3"/>
  <c r="J117" i="3"/>
  <c r="J113" i="3"/>
  <c r="J109" i="3"/>
  <c r="J105" i="3"/>
  <c r="J101" i="3"/>
  <c r="J97" i="3"/>
  <c r="J93" i="3"/>
  <c r="J130" i="3"/>
  <c r="V131" i="3"/>
  <c r="F133" i="3"/>
  <c r="V134" i="3"/>
  <c r="V153" i="3"/>
  <c r="L155" i="3"/>
  <c r="N155" i="3" s="1"/>
  <c r="N173" i="3"/>
  <c r="Z177" i="3"/>
  <c r="Z181" i="3"/>
  <c r="J190" i="3"/>
  <c r="Z199" i="3"/>
  <c r="Z205" i="3"/>
  <c r="Z61" i="9"/>
  <c r="V94" i="3"/>
  <c r="F96" i="3"/>
  <c r="V97" i="3"/>
  <c r="F99" i="3"/>
  <c r="V100" i="3"/>
  <c r="F102" i="3"/>
  <c r="V103" i="3"/>
  <c r="F105" i="3"/>
  <c r="V106" i="3"/>
  <c r="F108" i="3"/>
  <c r="V109" i="3"/>
  <c r="F111" i="3"/>
  <c r="V112" i="3"/>
  <c r="F114" i="3"/>
  <c r="V115" i="3"/>
  <c r="F117" i="3"/>
  <c r="V118" i="3"/>
  <c r="F120" i="3"/>
  <c r="V121" i="3"/>
  <c r="F123" i="3"/>
  <c r="J133" i="3"/>
  <c r="F142" i="3"/>
  <c r="V150" i="3"/>
  <c r="F157" i="3"/>
  <c r="J166" i="3"/>
  <c r="F171" i="3"/>
  <c r="Z179" i="3"/>
  <c r="Z187" i="3"/>
  <c r="N229" i="3"/>
  <c r="N16" i="6"/>
  <c r="H22" i="6"/>
  <c r="T16" i="6"/>
  <c r="X16" i="6" s="1"/>
  <c r="F19" i="9"/>
  <c r="F26" i="9"/>
  <c r="V27" i="9"/>
  <c r="F29" i="9"/>
  <c r="R33" i="9"/>
  <c r="J47" i="9"/>
  <c r="R48" i="9"/>
  <c r="J52" i="9"/>
  <c r="V72" i="9"/>
  <c r="J74" i="9"/>
  <c r="R75" i="9"/>
  <c r="R76" i="9"/>
  <c r="F79" i="9"/>
  <c r="F83" i="9"/>
  <c r="J86" i="9"/>
  <c r="R87" i="9"/>
  <c r="R88" i="9"/>
  <c r="F91" i="9"/>
  <c r="F102" i="9"/>
  <c r="Z170" i="12"/>
  <c r="Z192" i="12"/>
  <c r="V14" i="6"/>
  <c r="V16" i="6"/>
  <c r="V18" i="6"/>
  <c r="V20" i="6"/>
  <c r="V22" i="6"/>
  <c r="J58" i="9"/>
  <c r="F70" i="9"/>
  <c r="N79" i="9"/>
  <c r="N91" i="9"/>
  <c r="F95" i="9"/>
  <c r="X12" i="6"/>
  <c r="J100" i="9"/>
  <c r="J67" i="9"/>
  <c r="J59" i="9"/>
  <c r="J49" i="9"/>
  <c r="J31" i="9"/>
  <c r="J27" i="9"/>
  <c r="J23" i="9"/>
  <c r="J81" i="9"/>
  <c r="J69" i="9"/>
  <c r="J63" i="9"/>
  <c r="J53" i="9"/>
  <c r="J43" i="9"/>
  <c r="J29" i="9"/>
  <c r="J25" i="9"/>
  <c r="J21" i="9"/>
  <c r="J19" i="9"/>
  <c r="J17" i="9"/>
  <c r="J15" i="9"/>
  <c r="J35" i="9"/>
  <c r="J38" i="9"/>
  <c r="F41" i="9"/>
  <c r="R42" i="9"/>
  <c r="F46" i="9"/>
  <c r="J51" i="9"/>
  <c r="F56" i="9"/>
  <c r="F57" i="9"/>
  <c r="R59" i="9"/>
  <c r="J62" i="9"/>
  <c r="J70" i="9"/>
  <c r="F78" i="9"/>
  <c r="J79" i="9"/>
  <c r="F82" i="9"/>
  <c r="F90" i="9"/>
  <c r="J91" i="9"/>
  <c r="J95" i="9"/>
  <c r="P97" i="9"/>
  <c r="X97" i="9" s="1"/>
  <c r="J102" i="9"/>
  <c r="J75" i="12"/>
  <c r="Z158" i="12"/>
  <c r="Z12" i="6"/>
  <c r="J26" i="6"/>
  <c r="J28" i="6"/>
  <c r="J29" i="6"/>
  <c r="J31" i="6"/>
  <c r="L12" i="9"/>
  <c r="H17" i="9"/>
  <c r="R29" i="9"/>
  <c r="F31" i="9"/>
  <c r="X32" i="9"/>
  <c r="Z32" i="9" s="1"/>
  <c r="J41" i="9"/>
  <c r="X43" i="9"/>
  <c r="Z43" i="9" s="1"/>
  <c r="J46" i="9"/>
  <c r="J57" i="9"/>
  <c r="F66" i="9"/>
  <c r="F67" i="9"/>
  <c r="R74" i="9"/>
  <c r="X76" i="9"/>
  <c r="Z76" i="9" s="1"/>
  <c r="J78" i="9"/>
  <c r="R83" i="9"/>
  <c r="R86" i="9"/>
  <c r="X88" i="9"/>
  <c r="Z88" i="9" s="1"/>
  <c r="J90" i="9"/>
  <c r="F109" i="9"/>
  <c r="N154" i="12"/>
  <c r="Z176" i="12"/>
  <c r="N198" i="12"/>
  <c r="D232" i="3"/>
  <c r="L232" i="3" s="1"/>
  <c r="N232" i="3" s="1"/>
  <c r="D16" i="6"/>
  <c r="F24" i="6"/>
  <c r="L17" i="9"/>
  <c r="F28" i="9"/>
  <c r="R32" i="9"/>
  <c r="F45" i="9"/>
  <c r="F50" i="9"/>
  <c r="R52" i="9"/>
  <c r="F55" i="9"/>
  <c r="J56" i="9"/>
  <c r="F73" i="9"/>
  <c r="J82" i="9"/>
  <c r="F85" i="9"/>
  <c r="F100" i="9"/>
  <c r="J109" i="9"/>
  <c r="P12" i="12"/>
  <c r="F14" i="6"/>
  <c r="F16" i="6"/>
  <c r="F18" i="6"/>
  <c r="F20" i="6"/>
  <c r="F22" i="6"/>
  <c r="R104" i="9"/>
  <c r="R93" i="9"/>
  <c r="R92" i="9"/>
  <c r="R80" i="9"/>
  <c r="R68" i="9"/>
  <c r="R61" i="9"/>
  <c r="R60" i="9"/>
  <c r="R28" i="9"/>
  <c r="R24" i="9"/>
  <c r="R98" i="9"/>
  <c r="R97" i="9"/>
  <c r="R71" i="9"/>
  <c r="R70" i="9"/>
  <c r="R47" i="9"/>
  <c r="R46" i="9"/>
  <c r="R30" i="9"/>
  <c r="R26" i="9"/>
  <c r="R22" i="9"/>
  <c r="X12" i="9"/>
  <c r="R19" i="9"/>
  <c r="R20" i="9"/>
  <c r="R23" i="9"/>
  <c r="F25" i="9"/>
  <c r="J28" i="9"/>
  <c r="J34" i="9"/>
  <c r="R35" i="9"/>
  <c r="R38" i="9"/>
  <c r="N45" i="9"/>
  <c r="J50" i="9"/>
  <c r="R51" i="9"/>
  <c r="L54" i="9"/>
  <c r="J55" i="9"/>
  <c r="R58" i="9"/>
  <c r="J61" i="9"/>
  <c r="R62" i="9"/>
  <c r="J66" i="9"/>
  <c r="J73" i="9"/>
  <c r="R79" i="9"/>
  <c r="J85" i="9"/>
  <c r="R91" i="9"/>
  <c r="J94" i="9"/>
  <c r="R95" i="9"/>
  <c r="R102" i="9"/>
  <c r="F106" i="9"/>
  <c r="V99" i="12"/>
  <c r="T207" i="12"/>
  <c r="Z154" i="12"/>
  <c r="Z198" i="12"/>
  <c r="V63" i="9"/>
  <c r="V51" i="9"/>
  <c r="V43" i="9"/>
  <c r="V19" i="9"/>
  <c r="V17" i="9"/>
  <c r="V15" i="9"/>
  <c r="V99" i="9"/>
  <c r="V89" i="9"/>
  <c r="V77" i="9"/>
  <c r="V65" i="9"/>
  <c r="V57" i="9"/>
  <c r="V49" i="9"/>
  <c r="P17" i="9"/>
  <c r="F22" i="9"/>
  <c r="V23" i="9"/>
  <c r="R31" i="9"/>
  <c r="V32" i="9"/>
  <c r="V35" i="9"/>
  <c r="F37" i="9"/>
  <c r="V38" i="9"/>
  <c r="J40" i="9"/>
  <c r="R41" i="9"/>
  <c r="F44" i="9"/>
  <c r="J45" i="9"/>
  <c r="V46" i="9"/>
  <c r="F49" i="9"/>
  <c r="V52" i="9"/>
  <c r="F54" i="9"/>
  <c r="R57" i="9"/>
  <c r="V62" i="9"/>
  <c r="F65" i="9"/>
  <c r="R67" i="9"/>
  <c r="F69" i="9"/>
  <c r="F76" i="9"/>
  <c r="F77" i="9"/>
  <c r="R78" i="9"/>
  <c r="Z79" i="9"/>
  <c r="F81" i="9"/>
  <c r="X82" i="9"/>
  <c r="Z82" i="9" s="1"/>
  <c r="F88" i="9"/>
  <c r="F89" i="9"/>
  <c r="R90" i="9"/>
  <c r="Z91" i="9"/>
  <c r="V95" i="9"/>
  <c r="T102" i="9"/>
  <c r="J106" i="9"/>
  <c r="J44" i="9"/>
  <c r="F60" i="9"/>
  <c r="J65" i="9"/>
  <c r="R73" i="9"/>
  <c r="J77" i="9"/>
  <c r="R82" i="9"/>
  <c r="R85" i="9"/>
  <c r="J89" i="9"/>
  <c r="J99" i="9"/>
  <c r="F190" i="12"/>
  <c r="F189" i="12"/>
  <c r="F174" i="12"/>
  <c r="F138" i="12"/>
  <c r="F130" i="12"/>
  <c r="F129" i="12"/>
  <c r="F122" i="12"/>
  <c r="F118" i="12"/>
  <c r="F114" i="12"/>
  <c r="F113" i="12"/>
  <c r="F197" i="12"/>
  <c r="F185" i="12"/>
  <c r="F181" i="12"/>
  <c r="F169" i="12"/>
  <c r="F157" i="12"/>
  <c r="F156" i="12"/>
  <c r="F109" i="12"/>
  <c r="F105" i="12"/>
  <c r="F164" i="12"/>
  <c r="F148" i="12"/>
  <c r="F140" i="12"/>
  <c r="F139" i="12"/>
  <c r="F132" i="12"/>
  <c r="F131" i="12"/>
  <c r="F96" i="12"/>
  <c r="F92" i="12"/>
  <c r="F88" i="12"/>
  <c r="F84" i="12"/>
  <c r="F80" i="12"/>
  <c r="F76" i="12"/>
  <c r="F199" i="12"/>
  <c r="F198" i="12"/>
  <c r="F191" i="12"/>
  <c r="F175" i="12"/>
  <c r="F171" i="12"/>
  <c r="F170" i="12"/>
  <c r="F159" i="12"/>
  <c r="F158" i="12"/>
  <c r="F123" i="12"/>
  <c r="F119" i="12"/>
  <c r="F115" i="12"/>
  <c r="F186" i="12"/>
  <c r="F182" i="12"/>
  <c r="F166" i="12"/>
  <c r="F165" i="12"/>
  <c r="F142" i="12"/>
  <c r="F141" i="12"/>
  <c r="F110" i="12"/>
  <c r="F106" i="12"/>
  <c r="F202" i="12"/>
  <c r="F193" i="12"/>
  <c r="F192" i="12"/>
  <c r="F177" i="12"/>
  <c r="F176" i="12"/>
  <c r="F161" i="12"/>
  <c r="F160" i="12"/>
  <c r="F149" i="12"/>
  <c r="F133" i="12"/>
  <c r="F125" i="12"/>
  <c r="F124" i="12"/>
  <c r="F97" i="12"/>
  <c r="F93" i="12"/>
  <c r="F89" i="12"/>
  <c r="F85" i="12"/>
  <c r="F81" i="12"/>
  <c r="F77" i="12"/>
  <c r="F203" i="12"/>
  <c r="F201" i="12"/>
  <c r="F172" i="12"/>
  <c r="F144" i="12"/>
  <c r="F143" i="12"/>
  <c r="F120" i="12"/>
  <c r="F116" i="12"/>
  <c r="F204" i="12"/>
  <c r="F195" i="12"/>
  <c r="F194" i="12"/>
  <c r="F187" i="12"/>
  <c r="F183" i="12"/>
  <c r="F167" i="12"/>
  <c r="F151" i="12"/>
  <c r="F150" i="12"/>
  <c r="F135" i="12"/>
  <c r="F134" i="12"/>
  <c r="F127" i="12"/>
  <c r="F126" i="12"/>
  <c r="F111" i="12"/>
  <c r="F107" i="12"/>
  <c r="F103" i="12"/>
  <c r="F102" i="12"/>
  <c r="F205" i="12"/>
  <c r="F178" i="12"/>
  <c r="F162" i="12"/>
  <c r="F101" i="12"/>
  <c r="F94" i="12"/>
  <c r="F90" i="12"/>
  <c r="F86" i="12"/>
  <c r="F82" i="12"/>
  <c r="F78" i="12"/>
  <c r="F74" i="12"/>
  <c r="F73" i="12"/>
  <c r="L12" i="12"/>
  <c r="N12" i="12" s="1"/>
  <c r="F173" i="12"/>
  <c r="F153" i="12"/>
  <c r="F152" i="12"/>
  <c r="F145" i="12"/>
  <c r="F137" i="12"/>
  <c r="F136" i="12"/>
  <c r="F121" i="12"/>
  <c r="F117" i="12"/>
  <c r="D99" i="12"/>
  <c r="F99" i="12" s="1"/>
  <c r="F196" i="12"/>
  <c r="F188" i="12"/>
  <c r="F184" i="12"/>
  <c r="F180" i="12"/>
  <c r="F179" i="12"/>
  <c r="F168" i="12"/>
  <c r="F128" i="12"/>
  <c r="F112" i="12"/>
  <c r="F108" i="12"/>
  <c r="F104" i="12"/>
  <c r="F209" i="12"/>
  <c r="F163" i="12"/>
  <c r="F155" i="12"/>
  <c r="F154" i="12"/>
  <c r="F147" i="12"/>
  <c r="F146" i="12"/>
  <c r="F95" i="12"/>
  <c r="F91" i="12"/>
  <c r="F87" i="12"/>
  <c r="F83" i="12"/>
  <c r="F79" i="12"/>
  <c r="F75" i="12"/>
  <c r="R166" i="15"/>
  <c r="R189" i="15"/>
  <c r="R182" i="15"/>
  <c r="R181" i="15"/>
  <c r="R177" i="15"/>
  <c r="R173" i="15"/>
  <c r="R161" i="15"/>
  <c r="R146" i="15"/>
  <c r="R145" i="15"/>
  <c r="R191" i="15"/>
  <c r="R190" i="15"/>
  <c r="R157" i="15"/>
  <c r="R150" i="15"/>
  <c r="R149" i="15"/>
  <c r="R142" i="15"/>
  <c r="R141" i="15"/>
  <c r="R133" i="15"/>
  <c r="R117" i="15"/>
  <c r="R113" i="15"/>
  <c r="R195" i="15"/>
  <c r="R194" i="15"/>
  <c r="R179" i="15"/>
  <c r="R175" i="15"/>
  <c r="R164" i="15"/>
  <c r="R163" i="15"/>
  <c r="R152" i="15"/>
  <c r="R151" i="15"/>
  <c r="R143" i="15"/>
  <c r="R197" i="15"/>
  <c r="R198" i="15"/>
  <c r="R188" i="15"/>
  <c r="R180" i="15"/>
  <c r="R172" i="15"/>
  <c r="R171" i="15"/>
  <c r="R155" i="15"/>
  <c r="R120" i="15"/>
  <c r="R119" i="15"/>
  <c r="R115" i="15"/>
  <c r="R111" i="15"/>
  <c r="R187" i="15"/>
  <c r="R178" i="15"/>
  <c r="R168" i="15"/>
  <c r="R124" i="15"/>
  <c r="R103" i="15"/>
  <c r="R89" i="15"/>
  <c r="R176" i="15"/>
  <c r="R129" i="15"/>
  <c r="R125" i="15"/>
  <c r="R100" i="15"/>
  <c r="R185" i="15"/>
  <c r="R174" i="15"/>
  <c r="R169" i="15"/>
  <c r="R158" i="15"/>
  <c r="R140" i="15"/>
  <c r="R134" i="15"/>
  <c r="R130" i="15"/>
  <c r="R114" i="15"/>
  <c r="R107" i="15"/>
  <c r="R93" i="15"/>
  <c r="R86" i="15"/>
  <c r="R82" i="15"/>
  <c r="R78" i="15"/>
  <c r="R74" i="15"/>
  <c r="R202" i="15"/>
  <c r="R196" i="15"/>
  <c r="R104" i="15"/>
  <c r="R90" i="15"/>
  <c r="R135" i="15"/>
  <c r="R126" i="15"/>
  <c r="R183" i="15"/>
  <c r="R159" i="15"/>
  <c r="R156" i="15"/>
  <c r="R131" i="15"/>
  <c r="R121" i="15"/>
  <c r="R108" i="15"/>
  <c r="R101" i="15"/>
  <c r="P95" i="15"/>
  <c r="R87" i="15"/>
  <c r="R83" i="15"/>
  <c r="R79" i="15"/>
  <c r="R75" i="15"/>
  <c r="R170" i="15"/>
  <c r="R153" i="15"/>
  <c r="R132" i="15"/>
  <c r="R127" i="15"/>
  <c r="R122" i="15"/>
  <c r="R112" i="15"/>
  <c r="R109" i="15"/>
  <c r="R97" i="15"/>
  <c r="R71" i="15"/>
  <c r="X12" i="15"/>
  <c r="Z12" i="15" s="1"/>
  <c r="R192" i="15"/>
  <c r="R186" i="15"/>
  <c r="R144" i="15"/>
  <c r="R105" i="15"/>
  <c r="R98" i="15"/>
  <c r="R91" i="15"/>
  <c r="R167" i="15"/>
  <c r="R154" i="15"/>
  <c r="R147" i="15"/>
  <c r="R137" i="15"/>
  <c r="R136" i="15"/>
  <c r="R118" i="15"/>
  <c r="R102" i="15"/>
  <c r="R88" i="15"/>
  <c r="R84" i="15"/>
  <c r="R80" i="15"/>
  <c r="R76" i="15"/>
  <c r="R72" i="15"/>
  <c r="R162" i="15"/>
  <c r="R128" i="15"/>
  <c r="R123" i="15"/>
  <c r="R110" i="15"/>
  <c r="R160" i="15"/>
  <c r="R148" i="15"/>
  <c r="R138" i="15"/>
  <c r="R106" i="15"/>
  <c r="R99" i="15"/>
  <c r="R92" i="15"/>
  <c r="R184" i="15"/>
  <c r="R165" i="15"/>
  <c r="R139" i="15"/>
  <c r="R116" i="15"/>
  <c r="R85" i="15"/>
  <c r="R81" i="15"/>
  <c r="R77" i="15"/>
  <c r="R73" i="15"/>
  <c r="F195" i="15"/>
  <c r="F186" i="15"/>
  <c r="F185" i="15"/>
  <c r="F170" i="15"/>
  <c r="F169" i="15"/>
  <c r="F196" i="15"/>
  <c r="F194" i="15"/>
  <c r="F165" i="15"/>
  <c r="F164" i="15"/>
  <c r="F153" i="15"/>
  <c r="F152" i="15"/>
  <c r="F189" i="15"/>
  <c r="F181" i="15"/>
  <c r="F177" i="15"/>
  <c r="F173" i="15"/>
  <c r="F172" i="15"/>
  <c r="F161" i="15"/>
  <c r="F145" i="15"/>
  <c r="F129" i="15"/>
  <c r="F121" i="15"/>
  <c r="F120" i="15"/>
  <c r="F93" i="15"/>
  <c r="F89" i="15"/>
  <c r="F183" i="15"/>
  <c r="F182" i="15"/>
  <c r="F167" i="15"/>
  <c r="F147" i="15"/>
  <c r="F146" i="15"/>
  <c r="F192" i="15"/>
  <c r="F191" i="15"/>
  <c r="F184" i="15"/>
  <c r="F179" i="15"/>
  <c r="F175" i="15"/>
  <c r="F163" i="15"/>
  <c r="F151" i="15"/>
  <c r="F150" i="15"/>
  <c r="F143" i="15"/>
  <c r="F142" i="15"/>
  <c r="F91" i="15"/>
  <c r="F160" i="15"/>
  <c r="F154" i="15"/>
  <c r="F110" i="15"/>
  <c r="F109" i="15"/>
  <c r="F102" i="15"/>
  <c r="F98" i="15"/>
  <c r="F88" i="15"/>
  <c r="F84" i="15"/>
  <c r="F80" i="15"/>
  <c r="F76" i="15"/>
  <c r="F72" i="15"/>
  <c r="F71" i="15"/>
  <c r="F180" i="15"/>
  <c r="F157" i="15"/>
  <c r="F133" i="15"/>
  <c r="F128" i="15"/>
  <c r="F123" i="15"/>
  <c r="F113" i="15"/>
  <c r="F148" i="15"/>
  <c r="F138" i="15"/>
  <c r="F137" i="15"/>
  <c r="F116" i="15"/>
  <c r="F106" i="15"/>
  <c r="F99" i="15"/>
  <c r="F92" i="15"/>
  <c r="F187" i="15"/>
  <c r="F178" i="15"/>
  <c r="F176" i="15"/>
  <c r="F171" i="15"/>
  <c r="F168" i="15"/>
  <c r="F119" i="15"/>
  <c r="F85" i="15"/>
  <c r="F81" i="15"/>
  <c r="F77" i="15"/>
  <c r="F73" i="15"/>
  <c r="F198" i="15"/>
  <c r="F174" i="15"/>
  <c r="F155" i="15"/>
  <c r="F124" i="15"/>
  <c r="F103" i="15"/>
  <c r="F158" i="15"/>
  <c r="F140" i="15"/>
  <c r="F139" i="15"/>
  <c r="F134" i="15"/>
  <c r="F114" i="15"/>
  <c r="F111" i="15"/>
  <c r="F100" i="15"/>
  <c r="F202" i="15"/>
  <c r="F166" i="15"/>
  <c r="F149" i="15"/>
  <c r="F107" i="15"/>
  <c r="F86" i="15"/>
  <c r="F82" i="15"/>
  <c r="F78" i="15"/>
  <c r="F74" i="15"/>
  <c r="F130" i="15"/>
  <c r="F126" i="15"/>
  <c r="F125" i="15"/>
  <c r="F117" i="15"/>
  <c r="F104" i="15"/>
  <c r="F90" i="15"/>
  <c r="F188" i="15"/>
  <c r="F156" i="15"/>
  <c r="F190" i="15"/>
  <c r="F135" i="15"/>
  <c r="F131" i="15"/>
  <c r="F112" i="15"/>
  <c r="F108" i="15"/>
  <c r="F101" i="15"/>
  <c r="F87" i="15"/>
  <c r="F83" i="15"/>
  <c r="F79" i="15"/>
  <c r="F75" i="15"/>
  <c r="F159" i="15"/>
  <c r="F144" i="15"/>
  <c r="F141" i="15"/>
  <c r="F115" i="15"/>
  <c r="D95" i="15"/>
  <c r="F95" i="15" s="1"/>
  <c r="L12" i="15"/>
  <c r="N12" i="15" s="1"/>
  <c r="F197" i="15"/>
  <c r="F162" i="15"/>
  <c r="F136" i="15"/>
  <c r="F132" i="15"/>
  <c r="F127" i="15"/>
  <c r="F122" i="15"/>
  <c r="F118" i="15"/>
  <c r="F105" i="15"/>
  <c r="F97" i="15"/>
  <c r="L49" i="9"/>
  <c r="N49" i="9" s="1"/>
  <c r="R50" i="9"/>
  <c r="J54" i="9"/>
  <c r="R55" i="9"/>
  <c r="R56" i="9"/>
  <c r="J60" i="9"/>
  <c r="J72" i="9"/>
  <c r="F75" i="9"/>
  <c r="J76" i="9"/>
  <c r="J84" i="9"/>
  <c r="J88" i="9"/>
  <c r="J93" i="9"/>
  <c r="R94" i="9"/>
  <c r="R100" i="9"/>
  <c r="R109" i="9"/>
  <c r="J197" i="12"/>
  <c r="J185" i="12"/>
  <c r="J181" i="12"/>
  <c r="J169" i="12"/>
  <c r="J157" i="12"/>
  <c r="J139" i="12"/>
  <c r="J131" i="12"/>
  <c r="J109" i="12"/>
  <c r="J105" i="12"/>
  <c r="J198" i="12"/>
  <c r="J170" i="12"/>
  <c r="J164" i="12"/>
  <c r="J158" i="12"/>
  <c r="J148" i="12"/>
  <c r="J140" i="12"/>
  <c r="J132" i="12"/>
  <c r="J96" i="12"/>
  <c r="J92" i="12"/>
  <c r="J88" i="12"/>
  <c r="J84" i="12"/>
  <c r="J80" i="12"/>
  <c r="J76" i="12"/>
  <c r="J199" i="12"/>
  <c r="J191" i="12"/>
  <c r="J175" i="12"/>
  <c r="J171" i="12"/>
  <c r="J165" i="12"/>
  <c r="J159" i="12"/>
  <c r="J141" i="12"/>
  <c r="J123" i="12"/>
  <c r="J119" i="12"/>
  <c r="J115" i="12"/>
  <c r="J192" i="12"/>
  <c r="J186" i="12"/>
  <c r="J182" i="12"/>
  <c r="J176" i="12"/>
  <c r="J166" i="12"/>
  <c r="J160" i="12"/>
  <c r="J142" i="12"/>
  <c r="J124" i="12"/>
  <c r="J110" i="12"/>
  <c r="J106" i="12"/>
  <c r="J202" i="12"/>
  <c r="J201" i="12"/>
  <c r="J193" i="12"/>
  <c r="J177" i="12"/>
  <c r="J161" i="12"/>
  <c r="J149" i="12"/>
  <c r="J143" i="12"/>
  <c r="J133" i="12"/>
  <c r="J125" i="12"/>
  <c r="J97" i="12"/>
  <c r="J93" i="12"/>
  <c r="J89" i="12"/>
  <c r="J85" i="12"/>
  <c r="J81" i="12"/>
  <c r="J77" i="12"/>
  <c r="J203" i="12"/>
  <c r="J194" i="12"/>
  <c r="J172" i="12"/>
  <c r="J150" i="12"/>
  <c r="J144" i="12"/>
  <c r="J134" i="12"/>
  <c r="J126" i="12"/>
  <c r="J120" i="12"/>
  <c r="J116" i="12"/>
  <c r="J102" i="12"/>
  <c r="J204" i="12"/>
  <c r="J195" i="12"/>
  <c r="J187" i="12"/>
  <c r="J183" i="12"/>
  <c r="J167" i="12"/>
  <c r="J151" i="12"/>
  <c r="J135" i="12"/>
  <c r="J127" i="12"/>
  <c r="J111" i="12"/>
  <c r="J107" i="12"/>
  <c r="J103" i="12"/>
  <c r="J101" i="12"/>
  <c r="J99" i="12"/>
  <c r="J73" i="12"/>
  <c r="J205" i="12"/>
  <c r="J178" i="12"/>
  <c r="J162" i="12"/>
  <c r="J152" i="12"/>
  <c r="J136" i="12"/>
  <c r="H99" i="12"/>
  <c r="J94" i="12"/>
  <c r="J90" i="12"/>
  <c r="J86" i="12"/>
  <c r="J82" i="12"/>
  <c r="J78" i="12"/>
  <c r="J74" i="12"/>
  <c r="J179" i="12"/>
  <c r="J173" i="12"/>
  <c r="J153" i="12"/>
  <c r="J145" i="12"/>
  <c r="J137" i="12"/>
  <c r="J121" i="12"/>
  <c r="J117" i="12"/>
  <c r="J196" i="12"/>
  <c r="J188" i="12"/>
  <c r="J184" i="12"/>
  <c r="J180" i="12"/>
  <c r="J168" i="12"/>
  <c r="J154" i="12"/>
  <c r="J146" i="12"/>
  <c r="J128" i="12"/>
  <c r="J112" i="12"/>
  <c r="J108" i="12"/>
  <c r="J104" i="12"/>
  <c r="J209" i="12"/>
  <c r="J189" i="12"/>
  <c r="J163" i="12"/>
  <c r="J155" i="12"/>
  <c r="J147" i="12"/>
  <c r="J129" i="12"/>
  <c r="J113" i="12"/>
  <c r="J95" i="12"/>
  <c r="J91" i="12"/>
  <c r="J87" i="12"/>
  <c r="J83" i="12"/>
  <c r="J190" i="12"/>
  <c r="J174" i="12"/>
  <c r="J156" i="12"/>
  <c r="J138" i="12"/>
  <c r="J130" i="12"/>
  <c r="J122" i="12"/>
  <c r="J118" i="12"/>
  <c r="J114" i="12"/>
  <c r="N146" i="12"/>
  <c r="Z130" i="15"/>
  <c r="V24" i="6"/>
  <c r="V26" i="6"/>
  <c r="V28" i="6"/>
  <c r="V29" i="6"/>
  <c r="F99" i="9"/>
  <c r="F97" i="9"/>
  <c r="F84" i="9"/>
  <c r="F72" i="9"/>
  <c r="F71" i="9"/>
  <c r="F48" i="9"/>
  <c r="F47" i="9"/>
  <c r="F40" i="9"/>
  <c r="F36" i="9"/>
  <c r="F94" i="9"/>
  <c r="F93" i="9"/>
  <c r="F86" i="9"/>
  <c r="F74" i="9"/>
  <c r="F62" i="9"/>
  <c r="F61" i="9"/>
  <c r="F42" i="9"/>
  <c r="F38" i="9"/>
  <c r="F34" i="9"/>
  <c r="R15" i="9"/>
  <c r="F24" i="9"/>
  <c r="F33" i="9"/>
  <c r="R37" i="9"/>
  <c r="R40" i="9"/>
  <c r="R45" i="9"/>
  <c r="J48" i="9"/>
  <c r="F64" i="9"/>
  <c r="R66" i="9"/>
  <c r="R69" i="9"/>
  <c r="J75" i="9"/>
  <c r="L76" i="9"/>
  <c r="R81" i="9"/>
  <c r="J87" i="9"/>
  <c r="L88" i="9"/>
  <c r="N88" i="9" s="1"/>
  <c r="L93" i="9"/>
  <c r="N93" i="9" s="1"/>
  <c r="F98" i="9"/>
  <c r="F104" i="9"/>
  <c r="X170" i="3"/>
  <c r="Z170" i="3" s="1"/>
  <c r="X194" i="3"/>
  <c r="Z194" i="3" s="1"/>
  <c r="L208" i="3"/>
  <c r="N208" i="3" s="1"/>
  <c r="P232" i="3"/>
  <c r="X232" i="3" s="1"/>
  <c r="Z232" i="3" s="1"/>
  <c r="X28" i="6"/>
  <c r="X29" i="6"/>
  <c r="Z29" i="6" s="1"/>
  <c r="L13" i="9"/>
  <c r="J24" i="9"/>
  <c r="J33" i="9"/>
  <c r="J36" i="9"/>
  <c r="F39" i="9"/>
  <c r="R44" i="9"/>
  <c r="Z45" i="9"/>
  <c r="F52" i="9"/>
  <c r="F53" i="9"/>
  <c r="J64" i="9"/>
  <c r="R65" i="9"/>
  <c r="F68" i="9"/>
  <c r="R77" i="9"/>
  <c r="F80" i="9"/>
  <c r="R89" i="9"/>
  <c r="F92" i="9"/>
  <c r="J98" i="9"/>
  <c r="J104" i="9"/>
  <c r="R106" i="9"/>
  <c r="N192" i="12"/>
  <c r="N164" i="15"/>
  <c r="F20" i="9"/>
  <c r="F21" i="9"/>
  <c r="R27" i="9"/>
  <c r="F32" i="9"/>
  <c r="J39" i="9"/>
  <c r="J42" i="9"/>
  <c r="R49" i="9"/>
  <c r="R54" i="9"/>
  <c r="F58" i="9"/>
  <c r="F59" i="9"/>
  <c r="F63" i="9"/>
  <c r="J68" i="9"/>
  <c r="J71" i="9"/>
  <c r="R72" i="9"/>
  <c r="J80" i="9"/>
  <c r="R84" i="9"/>
  <c r="J92" i="9"/>
  <c r="J97" i="9"/>
  <c r="R99" i="9"/>
  <c r="N160" i="12"/>
  <c r="V102" i="12"/>
  <c r="V106" i="12"/>
  <c r="V110" i="12"/>
  <c r="V126" i="12"/>
  <c r="V134" i="12"/>
  <c r="Z136" i="12"/>
  <c r="V142" i="12"/>
  <c r="V150" i="12"/>
  <c r="V166" i="12"/>
  <c r="V182" i="12"/>
  <c r="V186" i="12"/>
  <c r="V194" i="12"/>
  <c r="V202" i="12"/>
  <c r="X203" i="12"/>
  <c r="Z203" i="12" s="1"/>
  <c r="J196" i="15"/>
  <c r="J187" i="15"/>
  <c r="J165" i="15"/>
  <c r="J197" i="15"/>
  <c r="J188" i="15"/>
  <c r="J180" i="15"/>
  <c r="J176" i="15"/>
  <c r="J160" i="15"/>
  <c r="J154" i="15"/>
  <c r="J144" i="15"/>
  <c r="J189" i="15"/>
  <c r="J202" i="15"/>
  <c r="J182" i="15"/>
  <c r="J156" i="15"/>
  <c r="J146" i="15"/>
  <c r="J140" i="15"/>
  <c r="J130" i="15"/>
  <c r="J122" i="15"/>
  <c r="J116" i="15"/>
  <c r="J112" i="15"/>
  <c r="J98" i="15"/>
  <c r="J190" i="15"/>
  <c r="J178" i="15"/>
  <c r="J174" i="15"/>
  <c r="J162" i="15"/>
  <c r="J148" i="15"/>
  <c r="J192" i="15"/>
  <c r="J184" i="15"/>
  <c r="J185" i="15"/>
  <c r="J195" i="15"/>
  <c r="J194" i="15"/>
  <c r="J186" i="15"/>
  <c r="J170" i="15"/>
  <c r="J164" i="15"/>
  <c r="J158" i="15"/>
  <c r="J152" i="15"/>
  <c r="J134" i="15"/>
  <c r="J126" i="15"/>
  <c r="J118" i="15"/>
  <c r="J114" i="15"/>
  <c r="J110" i="15"/>
  <c r="X13" i="15"/>
  <c r="Z13" i="15" s="1"/>
  <c r="J72" i="15"/>
  <c r="J76" i="15"/>
  <c r="J80" i="15"/>
  <c r="J84" i="15"/>
  <c r="J88" i="15"/>
  <c r="V89" i="15"/>
  <c r="J102" i="15"/>
  <c r="V103" i="15"/>
  <c r="V119" i="15"/>
  <c r="V125" i="15"/>
  <c r="J147" i="15"/>
  <c r="N154" i="15"/>
  <c r="J167" i="15"/>
  <c r="V171" i="15"/>
  <c r="V178" i="15"/>
  <c r="X191" i="15"/>
  <c r="Z191" i="15" s="1"/>
  <c r="N51" i="21"/>
  <c r="V73" i="15"/>
  <c r="V77" i="15"/>
  <c r="V81" i="15"/>
  <c r="V85" i="15"/>
  <c r="V116" i="15"/>
  <c r="N132" i="15"/>
  <c r="V151" i="15"/>
  <c r="V165" i="15"/>
  <c r="V187" i="15"/>
  <c r="V191" i="15"/>
  <c r="V124" i="12"/>
  <c r="V160" i="12"/>
  <c r="V164" i="12"/>
  <c r="V176" i="12"/>
  <c r="V192" i="12"/>
  <c r="L24" i="15"/>
  <c r="V92" i="15"/>
  <c r="J97" i="15"/>
  <c r="V99" i="15"/>
  <c r="V113" i="15"/>
  <c r="L122" i="15"/>
  <c r="N122" i="15" s="1"/>
  <c r="J127" i="15"/>
  <c r="V133" i="15"/>
  <c r="V139" i="15"/>
  <c r="Z142" i="15"/>
  <c r="V157" i="15"/>
  <c r="V160" i="15"/>
  <c r="V141" i="12"/>
  <c r="V157" i="12"/>
  <c r="V165" i="12"/>
  <c r="V169" i="12"/>
  <c r="V181" i="12"/>
  <c r="V185" i="12"/>
  <c r="V197" i="12"/>
  <c r="H200" i="15"/>
  <c r="V110" i="15"/>
  <c r="V123" i="15"/>
  <c r="V128" i="15"/>
  <c r="V142" i="15"/>
  <c r="X148" i="15"/>
  <c r="Z148" i="15" s="1"/>
  <c r="J150" i="15"/>
  <c r="J159" i="15"/>
  <c r="V162" i="15"/>
  <c r="J179" i="15"/>
  <c r="J183" i="15"/>
  <c r="N131" i="18"/>
  <c r="N147" i="18"/>
  <c r="N159" i="18"/>
  <c r="Z161" i="18"/>
  <c r="Z172" i="18"/>
  <c r="Z213" i="18"/>
  <c r="V170" i="12"/>
  <c r="V174" i="12"/>
  <c r="V190" i="12"/>
  <c r="V198" i="12"/>
  <c r="V189" i="15"/>
  <c r="V181" i="15"/>
  <c r="V177" i="15"/>
  <c r="V173" i="15"/>
  <c r="V202" i="15"/>
  <c r="V156" i="15"/>
  <c r="V148" i="15"/>
  <c r="V194" i="15"/>
  <c r="V192" i="15"/>
  <c r="V184" i="15"/>
  <c r="V168" i="15"/>
  <c r="V164" i="15"/>
  <c r="V152" i="15"/>
  <c r="V124" i="15"/>
  <c r="V108" i="15"/>
  <c r="V104" i="15"/>
  <c r="V100" i="15"/>
  <c r="V196" i="15"/>
  <c r="V186" i="15"/>
  <c r="V170" i="15"/>
  <c r="V158" i="15"/>
  <c r="V154" i="15"/>
  <c r="V198" i="15"/>
  <c r="V188" i="15"/>
  <c r="V180" i="15"/>
  <c r="V182" i="15"/>
  <c r="V166" i="15"/>
  <c r="V146" i="15"/>
  <c r="V138" i="15"/>
  <c r="V130" i="15"/>
  <c r="V122" i="15"/>
  <c r="V106" i="15"/>
  <c r="V102" i="15"/>
  <c r="V98" i="15"/>
  <c r="V72" i="15"/>
  <c r="V76" i="15"/>
  <c r="V80" i="15"/>
  <c r="V84" i="15"/>
  <c r="V88" i="15"/>
  <c r="V118" i="15"/>
  <c r="V136" i="15"/>
  <c r="V147" i="15"/>
  <c r="Z154" i="15"/>
  <c r="V167" i="15"/>
  <c r="V175" i="15"/>
  <c r="V190" i="15"/>
  <c r="V195" i="15"/>
  <c r="V147" i="12"/>
  <c r="V155" i="12"/>
  <c r="V163" i="12"/>
  <c r="V209" i="12"/>
  <c r="V91" i="15"/>
  <c r="V105" i="15"/>
  <c r="V115" i="15"/>
  <c r="V137" i="15"/>
  <c r="V141" i="15"/>
  <c r="V144" i="15"/>
  <c r="J169" i="15"/>
  <c r="N172" i="15"/>
  <c r="P12" i="18"/>
  <c r="X18" i="18"/>
  <c r="Z159" i="18"/>
  <c r="N36" i="21"/>
  <c r="V104" i="12"/>
  <c r="V108" i="12"/>
  <c r="V112" i="12"/>
  <c r="V128" i="12"/>
  <c r="V156" i="12"/>
  <c r="V168" i="12"/>
  <c r="V180" i="12"/>
  <c r="V184" i="12"/>
  <c r="V188" i="12"/>
  <c r="V196" i="12"/>
  <c r="J74" i="15"/>
  <c r="J78" i="15"/>
  <c r="J82" i="15"/>
  <c r="J86" i="15"/>
  <c r="J93" i="15"/>
  <c r="J107" i="15"/>
  <c r="V112" i="15"/>
  <c r="J120" i="15"/>
  <c r="J125" i="15"/>
  <c r="Z132" i="15"/>
  <c r="X135" i="15"/>
  <c r="Z135" i="15" s="1"/>
  <c r="J143" i="15"/>
  <c r="J149" i="15"/>
  <c r="Z150" i="15"/>
  <c r="V153" i="15"/>
  <c r="J163" i="15"/>
  <c r="J166" i="15"/>
  <c r="J172" i="15"/>
  <c r="V179" i="15"/>
  <c r="N207" i="18"/>
  <c r="H98" i="21"/>
  <c r="J98" i="21" s="1"/>
  <c r="V189" i="12"/>
  <c r="V71" i="15"/>
  <c r="V75" i="15"/>
  <c r="V79" i="15"/>
  <c r="V83" i="15"/>
  <c r="V87" i="15"/>
  <c r="V97" i="15"/>
  <c r="V101" i="15"/>
  <c r="V109" i="15"/>
  <c r="V121" i="15"/>
  <c r="V127" i="15"/>
  <c r="V131" i="15"/>
  <c r="V132" i="15"/>
  <c r="V150" i="15"/>
  <c r="V183" i="15"/>
  <c r="N78" i="21"/>
  <c r="N22" i="24"/>
  <c r="V146" i="12"/>
  <c r="V154" i="12"/>
  <c r="V162" i="12"/>
  <c r="V178" i="12"/>
  <c r="T95" i="15"/>
  <c r="V95" i="15" s="1"/>
  <c r="V117" i="15"/>
  <c r="V126" i="15"/>
  <c r="V159" i="15"/>
  <c r="V161" i="15"/>
  <c r="J198" i="15"/>
  <c r="L124" i="12"/>
  <c r="N124" i="12" s="1"/>
  <c r="X146" i="12"/>
  <c r="Z146" i="12" s="1"/>
  <c r="X154" i="12"/>
  <c r="L160" i="12"/>
  <c r="V167" i="12"/>
  <c r="L176" i="12"/>
  <c r="N176" i="12" s="1"/>
  <c r="V179" i="12"/>
  <c r="V183" i="12"/>
  <c r="V187" i="12"/>
  <c r="L192" i="12"/>
  <c r="V195" i="12"/>
  <c r="V205" i="12"/>
  <c r="V207" i="12"/>
  <c r="V90" i="15"/>
  <c r="V135" i="15"/>
  <c r="V143" i="15"/>
  <c r="V149" i="15"/>
  <c r="V163" i="15"/>
  <c r="J168" i="15"/>
  <c r="J171" i="15"/>
  <c r="Z172" i="15"/>
  <c r="J191" i="15"/>
  <c r="X194" i="15"/>
  <c r="Z194" i="15" s="1"/>
  <c r="D12" i="18"/>
  <c r="V144" i="12"/>
  <c r="V152" i="12"/>
  <c r="V172" i="12"/>
  <c r="V204" i="12"/>
  <c r="V74" i="15"/>
  <c r="V78" i="15"/>
  <c r="V82" i="15"/>
  <c r="V86" i="15"/>
  <c r="V93" i="15"/>
  <c r="V107" i="15"/>
  <c r="V111" i="15"/>
  <c r="V114" i="15"/>
  <c r="V134" i="15"/>
  <c r="V140" i="15"/>
  <c r="N142" i="15"/>
  <c r="N148" i="15"/>
  <c r="J151" i="15"/>
  <c r="V172" i="15"/>
  <c r="V174" i="15"/>
  <c r="V193" i="12"/>
  <c r="L97" i="15"/>
  <c r="N97" i="15" s="1"/>
  <c r="V120" i="15"/>
  <c r="L127" i="15"/>
  <c r="N127" i="15" s="1"/>
  <c r="V129" i="15"/>
  <c r="V145" i="15"/>
  <c r="V155" i="15"/>
  <c r="V169" i="15"/>
  <c r="V176" i="15"/>
  <c r="V185" i="15"/>
  <c r="R76" i="21"/>
  <c r="R75" i="21"/>
  <c r="R96" i="21"/>
  <c r="R54" i="21"/>
  <c r="R85" i="21"/>
  <c r="R73" i="21"/>
  <c r="R89" i="21"/>
  <c r="R88" i="21"/>
  <c r="R69" i="21"/>
  <c r="R68" i="21"/>
  <c r="R49" i="21"/>
  <c r="R48" i="21"/>
  <c r="R20" i="21"/>
  <c r="R79" i="21"/>
  <c r="R70" i="21"/>
  <c r="R55" i="21"/>
  <c r="R51" i="21"/>
  <c r="R39" i="21"/>
  <c r="R23" i="21"/>
  <c r="R82" i="21"/>
  <c r="R62" i="21"/>
  <c r="R46" i="21"/>
  <c r="P23" i="21"/>
  <c r="R19" i="21"/>
  <c r="R71" i="21"/>
  <c r="R67" i="21"/>
  <c r="R56" i="21"/>
  <c r="R47" i="21"/>
  <c r="R43" i="21"/>
  <c r="R25" i="21"/>
  <c r="R52" i="21"/>
  <c r="R36" i="21"/>
  <c r="R35" i="21"/>
  <c r="R32" i="21"/>
  <c r="R29" i="21"/>
  <c r="R26" i="21"/>
  <c r="R86" i="21"/>
  <c r="R80" i="21"/>
  <c r="R77" i="21"/>
  <c r="R74" i="21"/>
  <c r="R53" i="21"/>
  <c r="R40" i="21"/>
  <c r="R64" i="21"/>
  <c r="R63" i="21"/>
  <c r="R58" i="21"/>
  <c r="R57" i="21"/>
  <c r="R37" i="21"/>
  <c r="R90" i="21"/>
  <c r="R83" i="21"/>
  <c r="R72" i="21"/>
  <c r="R44" i="21"/>
  <c r="R87" i="21"/>
  <c r="R84" i="21"/>
  <c r="R78" i="21"/>
  <c r="R59" i="21"/>
  <c r="R41" i="21"/>
  <c r="R33" i="21"/>
  <c r="R30" i="21"/>
  <c r="R27" i="21"/>
  <c r="R65" i="21"/>
  <c r="R60" i="21"/>
  <c r="R81" i="21"/>
  <c r="R45" i="21"/>
  <c r="R38" i="21"/>
  <c r="R92" i="21"/>
  <c r="R66" i="21"/>
  <c r="R21" i="21"/>
  <c r="R18" i="21"/>
  <c r="X12" i="21"/>
  <c r="Z12" i="21" s="1"/>
  <c r="R61" i="21"/>
  <c r="R50" i="21"/>
  <c r="R42" i="21"/>
  <c r="R34" i="21"/>
  <c r="R31" i="21"/>
  <c r="R28" i="21"/>
  <c r="V89" i="18"/>
  <c r="V93" i="18"/>
  <c r="V97" i="18"/>
  <c r="V101" i="18"/>
  <c r="V105" i="18"/>
  <c r="V109" i="18"/>
  <c r="V113" i="18"/>
  <c r="J119" i="18"/>
  <c r="J121" i="18"/>
  <c r="J125" i="18"/>
  <c r="J129" i="18"/>
  <c r="J145" i="18"/>
  <c r="V149" i="18"/>
  <c r="J153" i="18"/>
  <c r="V157" i="18"/>
  <c r="V165" i="18"/>
  <c r="J169" i="18"/>
  <c r="V173" i="18"/>
  <c r="V181" i="18"/>
  <c r="V185" i="18"/>
  <c r="J189" i="18"/>
  <c r="V197" i="18"/>
  <c r="V201" i="18"/>
  <c r="J205" i="18"/>
  <c r="V209" i="18"/>
  <c r="V217" i="18"/>
  <c r="J225" i="18"/>
  <c r="V92" i="21"/>
  <c r="V90" i="21"/>
  <c r="V82" i="21"/>
  <c r="V78" i="21"/>
  <c r="V70" i="21"/>
  <c r="V85" i="21"/>
  <c r="V73" i="21"/>
  <c r="V65" i="21"/>
  <c r="V45" i="21"/>
  <c r="V41" i="21"/>
  <c r="V37" i="21"/>
  <c r="V80" i="21"/>
  <c r="V75" i="21"/>
  <c r="V71" i="21"/>
  <c r="V59" i="21"/>
  <c r="V51" i="21"/>
  <c r="V43" i="21"/>
  <c r="V39" i="21"/>
  <c r="T23" i="21"/>
  <c r="Z36" i="21"/>
  <c r="F41" i="21"/>
  <c r="J49" i="21"/>
  <c r="F54" i="21"/>
  <c r="V55" i="21"/>
  <c r="Z56" i="21"/>
  <c r="F58" i="21"/>
  <c r="F59" i="21"/>
  <c r="V62" i="21"/>
  <c r="F64" i="21"/>
  <c r="J65" i="21"/>
  <c r="J75" i="21"/>
  <c r="F78" i="21"/>
  <c r="V79" i="21"/>
  <c r="J81" i="21"/>
  <c r="N84" i="21"/>
  <c r="F87" i="21"/>
  <c r="Z89" i="21"/>
  <c r="X92" i="21"/>
  <c r="F96" i="21"/>
  <c r="J23" i="24"/>
  <c r="J39" i="24"/>
  <c r="J63" i="24"/>
  <c r="J120" i="18"/>
  <c r="V122" i="18"/>
  <c r="V126" i="18"/>
  <c r="V130" i="18"/>
  <c r="J134" i="18"/>
  <c r="J138" i="18"/>
  <c r="J144" i="18"/>
  <c r="V146" i="18"/>
  <c r="J152" i="18"/>
  <c r="J162" i="18"/>
  <c r="J168" i="18"/>
  <c r="V174" i="18"/>
  <c r="J178" i="18"/>
  <c r="V186" i="18"/>
  <c r="V190" i="18"/>
  <c r="J204" i="18"/>
  <c r="V206" i="18"/>
  <c r="V214" i="18"/>
  <c r="V216" i="18"/>
  <c r="F27" i="21"/>
  <c r="F33" i="21"/>
  <c r="F44" i="21"/>
  <c r="J54" i="21"/>
  <c r="J59" i="21"/>
  <c r="J84" i="21"/>
  <c r="J96" i="21"/>
  <c r="J55" i="24"/>
  <c r="J71" i="24"/>
  <c r="L13" i="18"/>
  <c r="N13" i="18" s="1"/>
  <c r="J87" i="18"/>
  <c r="J91" i="18"/>
  <c r="J95" i="18"/>
  <c r="J99" i="18"/>
  <c r="J103" i="18"/>
  <c r="J107" i="18"/>
  <c r="J111" i="18"/>
  <c r="J115" i="18"/>
  <c r="V131" i="18"/>
  <c r="V135" i="18"/>
  <c r="V139" i="18"/>
  <c r="J143" i="18"/>
  <c r="V147" i="18"/>
  <c r="J151" i="18"/>
  <c r="V155" i="18"/>
  <c r="J161" i="18"/>
  <c r="V163" i="18"/>
  <c r="J167" i="18"/>
  <c r="V171" i="18"/>
  <c r="V179" i="18"/>
  <c r="J183" i="18"/>
  <c r="V191" i="18"/>
  <c r="J195" i="18"/>
  <c r="J199" i="18"/>
  <c r="J203" i="18"/>
  <c r="V207" i="18"/>
  <c r="J211" i="18"/>
  <c r="F20" i="21"/>
  <c r="J27" i="21"/>
  <c r="J33" i="21"/>
  <c r="F36" i="21"/>
  <c r="F37" i="21"/>
  <c r="J44" i="21"/>
  <c r="F48" i="21"/>
  <c r="F53" i="21"/>
  <c r="F57" i="21"/>
  <c r="J58" i="21"/>
  <c r="J64" i="21"/>
  <c r="F68" i="21"/>
  <c r="F72" i="21"/>
  <c r="F83" i="21"/>
  <c r="J87" i="21"/>
  <c r="J90" i="21"/>
  <c r="P12" i="24"/>
  <c r="H27" i="24"/>
  <c r="J41" i="24"/>
  <c r="J86" i="18"/>
  <c r="V88" i="18"/>
  <c r="V92" i="18"/>
  <c r="V96" i="18"/>
  <c r="V100" i="18"/>
  <c r="V104" i="18"/>
  <c r="V108" i="18"/>
  <c r="V112" i="18"/>
  <c r="J124" i="18"/>
  <c r="J128" i="18"/>
  <c r="J142" i="18"/>
  <c r="J160" i="18"/>
  <c r="V164" i="18"/>
  <c r="V172" i="18"/>
  <c r="V184" i="18"/>
  <c r="J188" i="18"/>
  <c r="J194" i="18"/>
  <c r="V196" i="18"/>
  <c r="V200" i="18"/>
  <c r="X207" i="18"/>
  <c r="Z207" i="18" s="1"/>
  <c r="V212" i="18"/>
  <c r="J221" i="18"/>
  <c r="F26" i="21"/>
  <c r="J37" i="21"/>
  <c r="F40" i="21"/>
  <c r="J48" i="21"/>
  <c r="N53" i="21"/>
  <c r="J57" i="21"/>
  <c r="L58" i="21"/>
  <c r="F63" i="21"/>
  <c r="L64" i="21"/>
  <c r="J68" i="21"/>
  <c r="J83" i="21"/>
  <c r="R126" i="30"/>
  <c r="R111" i="30"/>
  <c r="R110" i="30"/>
  <c r="R102" i="30"/>
  <c r="R149" i="30"/>
  <c r="R148" i="30"/>
  <c r="R133" i="30"/>
  <c r="R129" i="30"/>
  <c r="R105" i="30"/>
  <c r="R78" i="30"/>
  <c r="R77" i="30"/>
  <c r="R73" i="30"/>
  <c r="R69" i="30"/>
  <c r="R150" i="30"/>
  <c r="R117" i="30"/>
  <c r="R116" i="30"/>
  <c r="R155" i="30"/>
  <c r="R143" i="30"/>
  <c r="R135" i="30"/>
  <c r="R131" i="30"/>
  <c r="R119" i="30"/>
  <c r="R75" i="30"/>
  <c r="R71" i="30"/>
  <c r="R103" i="30"/>
  <c r="R93" i="30"/>
  <c r="P65" i="30"/>
  <c r="R53" i="30"/>
  <c r="R145" i="30"/>
  <c r="R106" i="30"/>
  <c r="R87" i="30"/>
  <c r="R74" i="30"/>
  <c r="R57" i="30"/>
  <c r="X12" i="30"/>
  <c r="R123" i="30"/>
  <c r="R84" i="30"/>
  <c r="R61" i="30"/>
  <c r="R139" i="30"/>
  <c r="R136" i="30"/>
  <c r="R120" i="30"/>
  <c r="R107" i="30"/>
  <c r="R104" i="30"/>
  <c r="R101" i="30"/>
  <c r="R100" i="30"/>
  <c r="R81" i="30"/>
  <c r="R54" i="30"/>
  <c r="R134" i="30"/>
  <c r="R118" i="30"/>
  <c r="R114" i="30"/>
  <c r="R95" i="30"/>
  <c r="R94" i="30"/>
  <c r="R89" i="30"/>
  <c r="R88" i="30"/>
  <c r="R72" i="30"/>
  <c r="R58" i="30"/>
  <c r="R50" i="30"/>
  <c r="R140" i="30"/>
  <c r="R132" i="30"/>
  <c r="R127" i="30"/>
  <c r="R115" i="30"/>
  <c r="R62" i="30"/>
  <c r="R146" i="30"/>
  <c r="R137" i="30"/>
  <c r="R130" i="30"/>
  <c r="R121" i="30"/>
  <c r="R96" i="30"/>
  <c r="R90" i="30"/>
  <c r="R85" i="30"/>
  <c r="R51" i="30"/>
  <c r="R151" i="30"/>
  <c r="R128" i="30"/>
  <c r="R124" i="30"/>
  <c r="R97" i="30"/>
  <c r="R91" i="30"/>
  <c r="R82" i="30"/>
  <c r="R79" i="30"/>
  <c r="R70" i="30"/>
  <c r="R55" i="30"/>
  <c r="R125" i="30"/>
  <c r="R112" i="30"/>
  <c r="R108" i="30"/>
  <c r="R59" i="30"/>
  <c r="R141" i="30"/>
  <c r="R109" i="30"/>
  <c r="R86" i="30"/>
  <c r="R76" i="30"/>
  <c r="R63" i="30"/>
  <c r="R52" i="30"/>
  <c r="R144" i="30"/>
  <c r="R122" i="30"/>
  <c r="R98" i="30"/>
  <c r="R92" i="30"/>
  <c r="R56" i="30"/>
  <c r="R142" i="30"/>
  <c r="R138" i="30"/>
  <c r="R113" i="30"/>
  <c r="R99" i="30"/>
  <c r="R83" i="30"/>
  <c r="R80" i="30"/>
  <c r="R68" i="30"/>
  <c r="R67" i="30"/>
  <c r="R65" i="30"/>
  <c r="R60" i="30"/>
  <c r="H153" i="30"/>
  <c r="J65" i="30"/>
  <c r="V121" i="18"/>
  <c r="V125" i="18"/>
  <c r="V129" i="18"/>
  <c r="J133" i="18"/>
  <c r="J137" i="18"/>
  <c r="J141" i="18"/>
  <c r="V145" i="18"/>
  <c r="V153" i="18"/>
  <c r="J159" i="18"/>
  <c r="V169" i="18"/>
  <c r="X172" i="18"/>
  <c r="J177" i="18"/>
  <c r="V189" i="18"/>
  <c r="J193" i="18"/>
  <c r="V205" i="18"/>
  <c r="V213" i="18"/>
  <c r="J220" i="18"/>
  <c r="V225" i="18"/>
  <c r="F25" i="21"/>
  <c r="J36" i="21"/>
  <c r="J40" i="21"/>
  <c r="F47" i="21"/>
  <c r="F52" i="21"/>
  <c r="J53" i="21"/>
  <c r="F56" i="21"/>
  <c r="J63" i="21"/>
  <c r="V69" i="21"/>
  <c r="F71" i="21"/>
  <c r="F74" i="21"/>
  <c r="J80" i="21"/>
  <c r="F86" i="21"/>
  <c r="D12" i="24"/>
  <c r="L22" i="24"/>
  <c r="J90" i="18"/>
  <c r="J94" i="18"/>
  <c r="J98" i="18"/>
  <c r="J102" i="18"/>
  <c r="J106" i="18"/>
  <c r="J110" i="18"/>
  <c r="J114" i="18"/>
  <c r="T117" i="18"/>
  <c r="V134" i="18"/>
  <c r="V138" i="18"/>
  <c r="J150" i="18"/>
  <c r="V154" i="18"/>
  <c r="J158" i="18"/>
  <c r="V162" i="18"/>
  <c r="J166" i="18"/>
  <c r="V170" i="18"/>
  <c r="J176" i="18"/>
  <c r="V178" i="18"/>
  <c r="J182" i="18"/>
  <c r="J198" i="18"/>
  <c r="J202" i="18"/>
  <c r="J210" i="18"/>
  <c r="J219" i="18"/>
  <c r="D23" i="21"/>
  <c r="N25" i="21"/>
  <c r="J26" i="21"/>
  <c r="F29" i="21"/>
  <c r="J32" i="21"/>
  <c r="F35" i="21"/>
  <c r="L36" i="21"/>
  <c r="F43" i="21"/>
  <c r="N47" i="21"/>
  <c r="J52" i="21"/>
  <c r="F62" i="21"/>
  <c r="X69" i="21"/>
  <c r="Z69" i="21" s="1"/>
  <c r="Z84" i="21"/>
  <c r="Z87" i="21"/>
  <c r="J89" i="21"/>
  <c r="J85" i="24"/>
  <c r="J59" i="24"/>
  <c r="J35" i="24"/>
  <c r="J31" i="24"/>
  <c r="J29" i="24"/>
  <c r="J27" i="24"/>
  <c r="J74" i="24"/>
  <c r="J60" i="24"/>
  <c r="J75" i="24"/>
  <c r="J69" i="24"/>
  <c r="J61" i="24"/>
  <c r="J76" i="24"/>
  <c r="J70" i="24"/>
  <c r="J62" i="24"/>
  <c r="J50" i="24"/>
  <c r="J36" i="24"/>
  <c r="J64" i="24"/>
  <c r="J52" i="24"/>
  <c r="J46" i="24"/>
  <c r="J42" i="24"/>
  <c r="J77" i="24"/>
  <c r="J65" i="24"/>
  <c r="J53" i="24"/>
  <c r="J37" i="24"/>
  <c r="J33" i="24"/>
  <c r="J78" i="24"/>
  <c r="J72" i="24"/>
  <c r="J54" i="24"/>
  <c r="J79" i="24"/>
  <c r="J66" i="24"/>
  <c r="J56" i="24"/>
  <c r="J38" i="24"/>
  <c r="J81" i="24"/>
  <c r="J73" i="24"/>
  <c r="J67" i="24"/>
  <c r="J57" i="24"/>
  <c r="J68" i="24"/>
  <c r="J58" i="24"/>
  <c r="J48" i="24"/>
  <c r="J44" i="24"/>
  <c r="J40" i="24"/>
  <c r="J30" i="24"/>
  <c r="J25" i="24"/>
  <c r="J45" i="24"/>
  <c r="L50" i="24"/>
  <c r="N50" i="24" s="1"/>
  <c r="N78" i="24"/>
  <c r="N86" i="27"/>
  <c r="V87" i="18"/>
  <c r="V91" i="18"/>
  <c r="V95" i="18"/>
  <c r="V99" i="18"/>
  <c r="V103" i="18"/>
  <c r="V107" i="18"/>
  <c r="V111" i="18"/>
  <c r="V115" i="18"/>
  <c r="V117" i="18"/>
  <c r="V119" i="18"/>
  <c r="J123" i="18"/>
  <c r="J127" i="18"/>
  <c r="V143" i="18"/>
  <c r="J149" i="18"/>
  <c r="V151" i="18"/>
  <c r="J157" i="18"/>
  <c r="V167" i="18"/>
  <c r="J175" i="18"/>
  <c r="J181" i="18"/>
  <c r="V183" i="18"/>
  <c r="J187" i="18"/>
  <c r="V195" i="18"/>
  <c r="V199" i="18"/>
  <c r="V203" i="18"/>
  <c r="J209" i="18"/>
  <c r="V211" i="18"/>
  <c r="J218" i="18"/>
  <c r="V20" i="21"/>
  <c r="F23" i="21"/>
  <c r="J25" i="21"/>
  <c r="J29" i="21"/>
  <c r="J35" i="21"/>
  <c r="J43" i="21"/>
  <c r="V44" i="21"/>
  <c r="F46" i="21"/>
  <c r="J47" i="21"/>
  <c r="V48" i="21"/>
  <c r="F51" i="21"/>
  <c r="J56" i="21"/>
  <c r="V72" i="21"/>
  <c r="V83" i="21"/>
  <c r="V84" i="21"/>
  <c r="V87" i="21"/>
  <c r="T27" i="24"/>
  <c r="V120" i="18"/>
  <c r="V124" i="18"/>
  <c r="V128" i="18"/>
  <c r="J132" i="18"/>
  <c r="J136" i="18"/>
  <c r="J140" i="18"/>
  <c r="V144" i="18"/>
  <c r="J148" i="18"/>
  <c r="V152" i="18"/>
  <c r="J156" i="18"/>
  <c r="V160" i="18"/>
  <c r="V168" i="18"/>
  <c r="J174" i="18"/>
  <c r="J180" i="18"/>
  <c r="J186" i="18"/>
  <c r="V188" i="18"/>
  <c r="J192" i="18"/>
  <c r="V204" i="18"/>
  <c r="J208" i="18"/>
  <c r="J216" i="18"/>
  <c r="J217" i="18"/>
  <c r="F18" i="21"/>
  <c r="F19" i="21"/>
  <c r="J62" i="21"/>
  <c r="J82" i="21"/>
  <c r="V50" i="24"/>
  <c r="N62" i="24"/>
  <c r="L62" i="24"/>
  <c r="N67" i="30"/>
  <c r="J89" i="18"/>
  <c r="J93" i="18"/>
  <c r="J97" i="18"/>
  <c r="J101" i="18"/>
  <c r="J105" i="18"/>
  <c r="J109" i="18"/>
  <c r="J113" i="18"/>
  <c r="J131" i="18"/>
  <c r="V133" i="18"/>
  <c r="V137" i="18"/>
  <c r="V141" i="18"/>
  <c r="J147" i="18"/>
  <c r="V161" i="18"/>
  <c r="J165" i="18"/>
  <c r="J173" i="18"/>
  <c r="V177" i="18"/>
  <c r="J185" i="18"/>
  <c r="J191" i="18"/>
  <c r="V193" i="18"/>
  <c r="J197" i="18"/>
  <c r="J201" i="18"/>
  <c r="J207" i="18"/>
  <c r="V221" i="18"/>
  <c r="F67" i="21"/>
  <c r="F66" i="21"/>
  <c r="F90" i="21"/>
  <c r="F89" i="21"/>
  <c r="F82" i="21"/>
  <c r="F70" i="21"/>
  <c r="F69" i="21"/>
  <c r="F50" i="21"/>
  <c r="F49" i="21"/>
  <c r="F34" i="21"/>
  <c r="F30" i="21"/>
  <c r="F77" i="21"/>
  <c r="F76" i="21"/>
  <c r="F80" i="21"/>
  <c r="F32" i="21"/>
  <c r="F28" i="21"/>
  <c r="L12" i="21"/>
  <c r="N12" i="21" s="1"/>
  <c r="F42" i="21"/>
  <c r="L51" i="21"/>
  <c r="F55" i="21"/>
  <c r="V58" i="21"/>
  <c r="V64" i="21"/>
  <c r="J70" i="21"/>
  <c r="F79" i="21"/>
  <c r="F88" i="21"/>
  <c r="J49" i="24"/>
  <c r="X50" i="24"/>
  <c r="Z50" i="24" s="1"/>
  <c r="L54" i="24"/>
  <c r="N56" i="24"/>
  <c r="F74" i="27"/>
  <c r="F73" i="27"/>
  <c r="F58" i="27"/>
  <c r="F54" i="27"/>
  <c r="F50" i="27"/>
  <c r="F49" i="27"/>
  <c r="L12" i="27"/>
  <c r="F102" i="27"/>
  <c r="F93" i="27"/>
  <c r="F85" i="27"/>
  <c r="F84" i="27"/>
  <c r="F48" i="27"/>
  <c r="F41" i="27"/>
  <c r="F37" i="27"/>
  <c r="F103" i="27"/>
  <c r="F76" i="27"/>
  <c r="F75" i="27"/>
  <c r="F68" i="27"/>
  <c r="F64" i="27"/>
  <c r="D46" i="27"/>
  <c r="F46" i="27" s="1"/>
  <c r="F104" i="27"/>
  <c r="F87" i="27"/>
  <c r="F86" i="27"/>
  <c r="F59" i="27"/>
  <c r="F55" i="27"/>
  <c r="F51" i="27"/>
  <c r="F94" i="27"/>
  <c r="F78" i="27"/>
  <c r="F77" i="27"/>
  <c r="F42" i="27"/>
  <c r="F38" i="27"/>
  <c r="F34" i="27"/>
  <c r="F33" i="27"/>
  <c r="F69" i="27"/>
  <c r="F65" i="27"/>
  <c r="F61" i="27"/>
  <c r="F60" i="27"/>
  <c r="F108" i="27"/>
  <c r="F96" i="27"/>
  <c r="F95" i="27"/>
  <c r="F88" i="27"/>
  <c r="F80" i="27"/>
  <c r="F79" i="27"/>
  <c r="F56" i="27"/>
  <c r="F52" i="27"/>
  <c r="F43" i="27"/>
  <c r="F39" i="27"/>
  <c r="F35" i="27"/>
  <c r="F90" i="27"/>
  <c r="F89" i="27"/>
  <c r="F82" i="27"/>
  <c r="F81" i="27"/>
  <c r="F70" i="27"/>
  <c r="F66" i="27"/>
  <c r="F62" i="27"/>
  <c r="F97" i="27"/>
  <c r="F57" i="27"/>
  <c r="F53" i="27"/>
  <c r="F92" i="27"/>
  <c r="F91" i="27"/>
  <c r="F72" i="27"/>
  <c r="F71" i="27"/>
  <c r="F44" i="27"/>
  <c r="F40" i="27"/>
  <c r="F36" i="27"/>
  <c r="F99" i="27"/>
  <c r="F98" i="27"/>
  <c r="F83" i="27"/>
  <c r="F67" i="27"/>
  <c r="F63" i="27"/>
  <c r="V86" i="18"/>
  <c r="V90" i="18"/>
  <c r="V94" i="18"/>
  <c r="V98" i="18"/>
  <c r="V102" i="18"/>
  <c r="V106" i="18"/>
  <c r="V110" i="18"/>
  <c r="V114" i="18"/>
  <c r="J122" i="18"/>
  <c r="J126" i="18"/>
  <c r="J130" i="18"/>
  <c r="V142" i="18"/>
  <c r="J146" i="18"/>
  <c r="V150" i="18"/>
  <c r="V158" i="18"/>
  <c r="J164" i="18"/>
  <c r="V166" i="18"/>
  <c r="J172" i="18"/>
  <c r="V182" i="18"/>
  <c r="J190" i="18"/>
  <c r="L191" i="18"/>
  <c r="N191" i="18" s="1"/>
  <c r="V194" i="18"/>
  <c r="V198" i="18"/>
  <c r="V202" i="18"/>
  <c r="J206" i="18"/>
  <c r="V210" i="18"/>
  <c r="J214" i="18"/>
  <c r="V220" i="18"/>
  <c r="J86" i="21"/>
  <c r="J74" i="21"/>
  <c r="J77" i="21"/>
  <c r="J71" i="21"/>
  <c r="J61" i="21"/>
  <c r="J51" i="21"/>
  <c r="J21" i="21"/>
  <c r="J94" i="21"/>
  <c r="J92" i="21"/>
  <c r="J78" i="21"/>
  <c r="J72" i="21"/>
  <c r="J67" i="21"/>
  <c r="J55" i="21"/>
  <c r="J19" i="21"/>
  <c r="J18" i="21"/>
  <c r="J28" i="21"/>
  <c r="F31" i="21"/>
  <c r="J34" i="21"/>
  <c r="J42" i="21"/>
  <c r="J50" i="21"/>
  <c r="V53" i="21"/>
  <c r="X58" i="21"/>
  <c r="Z58" i="21" s="1"/>
  <c r="F60" i="21"/>
  <c r="F61" i="21"/>
  <c r="X64" i="21"/>
  <c r="J66" i="21"/>
  <c r="F73" i="21"/>
  <c r="J79" i="21"/>
  <c r="F85" i="21"/>
  <c r="J88" i="21"/>
  <c r="F92" i="21"/>
  <c r="X22" i="24"/>
  <c r="Z22" i="24" s="1"/>
  <c r="N54" i="24"/>
  <c r="N70" i="24"/>
  <c r="L70" i="24"/>
  <c r="Z89" i="30"/>
  <c r="N101" i="30"/>
  <c r="X86" i="18"/>
  <c r="Z86" i="18" s="1"/>
  <c r="V123" i="18"/>
  <c r="V127" i="18"/>
  <c r="J135" i="18"/>
  <c r="J139" i="18"/>
  <c r="X142" i="18"/>
  <c r="Z142" i="18" s="1"/>
  <c r="J155" i="18"/>
  <c r="V159" i="18"/>
  <c r="J163" i="18"/>
  <c r="L164" i="18"/>
  <c r="N164" i="18" s="1"/>
  <c r="J171" i="18"/>
  <c r="L172" i="18"/>
  <c r="V175" i="18"/>
  <c r="J179" i="18"/>
  <c r="V187" i="18"/>
  <c r="X194" i="18"/>
  <c r="Z194" i="18" s="1"/>
  <c r="J213" i="18"/>
  <c r="P216" i="18"/>
  <c r="X216" i="18" s="1"/>
  <c r="Z216" i="18" s="1"/>
  <c r="V219" i="18"/>
  <c r="F21" i="21"/>
  <c r="Z25" i="21"/>
  <c r="V26" i="21"/>
  <c r="J31" i="21"/>
  <c r="V36" i="21"/>
  <c r="F38" i="21"/>
  <c r="F45" i="21"/>
  <c r="Z47" i="21"/>
  <c r="X53" i="21"/>
  <c r="Z53" i="21" s="1"/>
  <c r="J73" i="21"/>
  <c r="J85" i="21"/>
  <c r="V89" i="21"/>
  <c r="J51" i="24"/>
  <c r="Z60" i="24"/>
  <c r="J88" i="18"/>
  <c r="J92" i="18"/>
  <c r="J96" i="18"/>
  <c r="J100" i="18"/>
  <c r="J104" i="18"/>
  <c r="J108" i="18"/>
  <c r="J112" i="18"/>
  <c r="H117" i="18"/>
  <c r="V132" i="18"/>
  <c r="V136" i="18"/>
  <c r="V140" i="18"/>
  <c r="V148" i="18"/>
  <c r="J154" i="18"/>
  <c r="V156" i="18"/>
  <c r="J170" i="18"/>
  <c r="V176" i="18"/>
  <c r="V180" i="18"/>
  <c r="J184" i="18"/>
  <c r="V192" i="18"/>
  <c r="J196" i="18"/>
  <c r="J200" i="18"/>
  <c r="V208" i="18"/>
  <c r="V25" i="21"/>
  <c r="J38" i="21"/>
  <c r="J45" i="21"/>
  <c r="V47" i="21"/>
  <c r="J60" i="21"/>
  <c r="F65" i="21"/>
  <c r="J69" i="21"/>
  <c r="F75" i="21"/>
  <c r="L78" i="21"/>
  <c r="F81" i="21"/>
  <c r="F84" i="21"/>
  <c r="L87" i="21"/>
  <c r="N87" i="21" s="1"/>
  <c r="V54" i="24"/>
  <c r="Z54" i="24"/>
  <c r="Z56" i="24"/>
  <c r="V56" i="24"/>
  <c r="Z70" i="24"/>
  <c r="F151" i="30"/>
  <c r="F134" i="30"/>
  <c r="F130" i="30"/>
  <c r="F118" i="30"/>
  <c r="F117" i="30"/>
  <c r="F106" i="30"/>
  <c r="F85" i="30"/>
  <c r="F81" i="30"/>
  <c r="F144" i="30"/>
  <c r="F136" i="30"/>
  <c r="F132" i="30"/>
  <c r="F120" i="30"/>
  <c r="F112" i="30"/>
  <c r="F111" i="30"/>
  <c r="F150" i="30"/>
  <c r="F148" i="30"/>
  <c r="F139" i="30"/>
  <c r="F123" i="30"/>
  <c r="F87" i="30"/>
  <c r="F83" i="30"/>
  <c r="F79" i="30"/>
  <c r="F78" i="30"/>
  <c r="D65" i="30"/>
  <c r="F65" i="30" s="1"/>
  <c r="F141" i="30"/>
  <c r="F135" i="30"/>
  <c r="F119" i="30"/>
  <c r="F116" i="30"/>
  <c r="F76" i="30"/>
  <c r="F73" i="30"/>
  <c r="F59" i="30"/>
  <c r="F133" i="30"/>
  <c r="F125" i="30"/>
  <c r="F98" i="30"/>
  <c r="F97" i="30"/>
  <c r="F92" i="30"/>
  <c r="F91" i="30"/>
  <c r="F86" i="30"/>
  <c r="F63" i="30"/>
  <c r="F52" i="30"/>
  <c r="F138" i="30"/>
  <c r="F131" i="30"/>
  <c r="F122" i="30"/>
  <c r="F109" i="30"/>
  <c r="F80" i="30"/>
  <c r="F56" i="30"/>
  <c r="F142" i="30"/>
  <c r="F129" i="30"/>
  <c r="F126" i="30"/>
  <c r="F113" i="30"/>
  <c r="F103" i="30"/>
  <c r="F71" i="30"/>
  <c r="F60" i="30"/>
  <c r="F149" i="30"/>
  <c r="F110" i="30"/>
  <c r="F99" i="30"/>
  <c r="F74" i="30"/>
  <c r="F68" i="30"/>
  <c r="F53" i="30"/>
  <c r="F145" i="30"/>
  <c r="F93" i="30"/>
  <c r="F77" i="30"/>
  <c r="F67" i="30"/>
  <c r="F57" i="30"/>
  <c r="L12" i="30"/>
  <c r="N12" i="30" s="1"/>
  <c r="F100" i="30"/>
  <c r="F84" i="30"/>
  <c r="F69" i="30"/>
  <c r="F61" i="30"/>
  <c r="F143" i="30"/>
  <c r="F114" i="30"/>
  <c r="F107" i="30"/>
  <c r="F104" i="30"/>
  <c r="F94" i="30"/>
  <c r="F72" i="30"/>
  <c r="F54" i="30"/>
  <c r="F127" i="30"/>
  <c r="F88" i="30"/>
  <c r="F75" i="30"/>
  <c r="F58" i="30"/>
  <c r="F155" i="30"/>
  <c r="F146" i="30"/>
  <c r="F101" i="30"/>
  <c r="F62" i="30"/>
  <c r="F140" i="30"/>
  <c r="F137" i="30"/>
  <c r="F124" i="30"/>
  <c r="F121" i="30"/>
  <c r="F115" i="30"/>
  <c r="F102" i="30"/>
  <c r="F96" i="30"/>
  <c r="F95" i="30"/>
  <c r="F90" i="30"/>
  <c r="F89" i="30"/>
  <c r="F82" i="30"/>
  <c r="F70" i="30"/>
  <c r="F51" i="30"/>
  <c r="F50" i="30"/>
  <c r="F128" i="30"/>
  <c r="F108" i="30"/>
  <c r="F105" i="30"/>
  <c r="F55" i="30"/>
  <c r="V32" i="24"/>
  <c r="V36" i="24"/>
  <c r="V52" i="24"/>
  <c r="V64" i="24"/>
  <c r="V76" i="24"/>
  <c r="Z78" i="24"/>
  <c r="N12" i="27"/>
  <c r="V34" i="27"/>
  <c r="V38" i="27"/>
  <c r="V42" i="27"/>
  <c r="J46" i="27"/>
  <c r="J48" i="27"/>
  <c r="J50" i="27"/>
  <c r="J54" i="27"/>
  <c r="J58" i="27"/>
  <c r="J74" i="27"/>
  <c r="V78" i="27"/>
  <c r="J84" i="27"/>
  <c r="V94" i="27"/>
  <c r="V53" i="30"/>
  <c r="J59" i="30"/>
  <c r="V71" i="30"/>
  <c r="J73" i="30"/>
  <c r="J91" i="30"/>
  <c r="J97" i="30"/>
  <c r="V103" i="30"/>
  <c r="J116" i="30"/>
  <c r="J119" i="30"/>
  <c r="L121" i="30"/>
  <c r="N121" i="30" s="1"/>
  <c r="J125" i="30"/>
  <c r="V131" i="30"/>
  <c r="J135" i="30"/>
  <c r="L137" i="30"/>
  <c r="N137" i="30" s="1"/>
  <c r="N148" i="30"/>
  <c r="V149" i="30"/>
  <c r="N28" i="36"/>
  <c r="P12" i="27"/>
  <c r="V51" i="27"/>
  <c r="V55" i="27"/>
  <c r="V59" i="27"/>
  <c r="J63" i="27"/>
  <c r="J67" i="27"/>
  <c r="J73" i="27"/>
  <c r="V79" i="27"/>
  <c r="J83" i="27"/>
  <c r="V87" i="27"/>
  <c r="V95" i="27"/>
  <c r="J99" i="27"/>
  <c r="V60" i="30"/>
  <c r="T65" i="30"/>
  <c r="Z68" i="30"/>
  <c r="V80" i="30"/>
  <c r="V83" i="30"/>
  <c r="V93" i="30"/>
  <c r="V117" i="30"/>
  <c r="V133" i="30"/>
  <c r="V138" i="30"/>
  <c r="Z142" i="30"/>
  <c r="V26" i="33"/>
  <c r="T78" i="33"/>
  <c r="V62" i="24"/>
  <c r="V70" i="24"/>
  <c r="J44" i="27"/>
  <c r="V60" i="27"/>
  <c r="V64" i="27"/>
  <c r="V68" i="27"/>
  <c r="J72" i="27"/>
  <c r="V76" i="27"/>
  <c r="J92" i="27"/>
  <c r="J98" i="27"/>
  <c r="P101" i="27"/>
  <c r="X101" i="27" s="1"/>
  <c r="Z101" i="27" s="1"/>
  <c r="V104" i="27"/>
  <c r="L13" i="30"/>
  <c r="N13" i="30" s="1"/>
  <c r="X16" i="30"/>
  <c r="V56" i="30"/>
  <c r="V65" i="30"/>
  <c r="V67" i="30"/>
  <c r="V68" i="30"/>
  <c r="V92" i="30"/>
  <c r="V98" i="30"/>
  <c r="V99" i="30"/>
  <c r="N115" i="30"/>
  <c r="V119" i="30"/>
  <c r="V122" i="30"/>
  <c r="J128" i="30"/>
  <c r="V135" i="30"/>
  <c r="V142" i="30"/>
  <c r="V144" i="30"/>
  <c r="V148" i="30"/>
  <c r="Z28" i="36"/>
  <c r="X70" i="24"/>
  <c r="V37" i="27"/>
  <c r="V41" i="27"/>
  <c r="J53" i="27"/>
  <c r="J57" i="27"/>
  <c r="X60" i="27"/>
  <c r="Z60" i="27" s="1"/>
  <c r="J71" i="27"/>
  <c r="V77" i="27"/>
  <c r="V85" i="27"/>
  <c r="J91" i="27"/>
  <c r="V93" i="27"/>
  <c r="J97" i="27"/>
  <c r="L98" i="27"/>
  <c r="V103" i="27"/>
  <c r="V52" i="30"/>
  <c r="V63" i="30"/>
  <c r="X67" i="30"/>
  <c r="Z67" i="30" s="1"/>
  <c r="V73" i="30"/>
  <c r="V76" i="30"/>
  <c r="V86" i="30"/>
  <c r="J95" i="30"/>
  <c r="Z109" i="30"/>
  <c r="J115" i="30"/>
  <c r="V141" i="30"/>
  <c r="J146" i="30"/>
  <c r="N65" i="33"/>
  <c r="V60" i="24"/>
  <c r="X75" i="24"/>
  <c r="Z75" i="24" s="1"/>
  <c r="X33" i="27"/>
  <c r="Z33" i="27" s="1"/>
  <c r="V50" i="27"/>
  <c r="V54" i="27"/>
  <c r="V58" i="27"/>
  <c r="J62" i="27"/>
  <c r="J66" i="27"/>
  <c r="J70" i="27"/>
  <c r="L71" i="27"/>
  <c r="N71" i="27" s="1"/>
  <c r="V74" i="27"/>
  <c r="X77" i="27"/>
  <c r="Z77" i="27" s="1"/>
  <c r="J82" i="27"/>
  <c r="V86" i="27"/>
  <c r="J90" i="27"/>
  <c r="L91" i="27"/>
  <c r="N91" i="27" s="1"/>
  <c r="V102" i="27"/>
  <c r="L50" i="30"/>
  <c r="V59" i="30"/>
  <c r="J78" i="30"/>
  <c r="L89" i="30"/>
  <c r="N89" i="30" s="1"/>
  <c r="L95" i="30"/>
  <c r="N95" i="30" s="1"/>
  <c r="J101" i="30"/>
  <c r="V105" i="30"/>
  <c r="V108" i="30"/>
  <c r="V109" i="30"/>
  <c r="V112" i="30"/>
  <c r="Z125" i="30"/>
  <c r="N73" i="36"/>
  <c r="J35" i="27"/>
  <c r="J39" i="27"/>
  <c r="J43" i="27"/>
  <c r="T46" i="27"/>
  <c r="V46" i="27" s="1"/>
  <c r="V63" i="27"/>
  <c r="V67" i="27"/>
  <c r="V75" i="27"/>
  <c r="J81" i="27"/>
  <c r="V83" i="27"/>
  <c r="J89" i="27"/>
  <c r="V99" i="27"/>
  <c r="V101" i="27"/>
  <c r="J153" i="30"/>
  <c r="J141" i="30"/>
  <c r="J107" i="30"/>
  <c r="J144" i="30"/>
  <c r="J136" i="30"/>
  <c r="J132" i="30"/>
  <c r="J120" i="30"/>
  <c r="J112" i="30"/>
  <c r="J92" i="30"/>
  <c r="J76" i="30"/>
  <c r="J72" i="30"/>
  <c r="J145" i="30"/>
  <c r="J137" i="30"/>
  <c r="J127" i="30"/>
  <c r="J121" i="30"/>
  <c r="J113" i="30"/>
  <c r="J103" i="30"/>
  <c r="J151" i="30"/>
  <c r="J140" i="30"/>
  <c r="J134" i="30"/>
  <c r="J130" i="30"/>
  <c r="J118" i="30"/>
  <c r="J106" i="30"/>
  <c r="J98" i="30"/>
  <c r="J74" i="30"/>
  <c r="J70" i="30"/>
  <c r="N50" i="30"/>
  <c r="J54" i="30"/>
  <c r="V55" i="30"/>
  <c r="V70" i="30"/>
  <c r="V79" i="30"/>
  <c r="J81" i="30"/>
  <c r="V82" i="30"/>
  <c r="L93" i="30"/>
  <c r="N93" i="30" s="1"/>
  <c r="J94" i="30"/>
  <c r="L101" i="30"/>
  <c r="X109" i="30"/>
  <c r="J114" i="30"/>
  <c r="V124" i="30"/>
  <c r="V125" i="30"/>
  <c r="Z128" i="30"/>
  <c r="J139" i="30"/>
  <c r="J143" i="30"/>
  <c r="L145" i="30"/>
  <c r="N145" i="30" s="1"/>
  <c r="J150" i="30"/>
  <c r="V155" i="30"/>
  <c r="V30" i="24"/>
  <c r="V34" i="24"/>
  <c r="V38" i="24"/>
  <c r="V58" i="24"/>
  <c r="V36" i="27"/>
  <c r="V40" i="27"/>
  <c r="V44" i="27"/>
  <c r="V48" i="27"/>
  <c r="J52" i="27"/>
  <c r="J56" i="27"/>
  <c r="V72" i="27"/>
  <c r="J80" i="27"/>
  <c r="V84" i="27"/>
  <c r="J88" i="27"/>
  <c r="V92" i="27"/>
  <c r="J96" i="27"/>
  <c r="J108" i="27"/>
  <c r="V51" i="30"/>
  <c r="J61" i="30"/>
  <c r="J69" i="30"/>
  <c r="J84" i="30"/>
  <c r="V85" i="30"/>
  <c r="V91" i="30"/>
  <c r="V97" i="30"/>
  <c r="L99" i="30"/>
  <c r="N99" i="30" s="1"/>
  <c r="J100" i="30"/>
  <c r="J104" i="30"/>
  <c r="J123" i="30"/>
  <c r="X125" i="30"/>
  <c r="V128" i="30"/>
  <c r="V130" i="30"/>
  <c r="V146" i="30"/>
  <c r="R63" i="33"/>
  <c r="R62" i="33"/>
  <c r="R46" i="33"/>
  <c r="R42" i="33"/>
  <c r="R70" i="33"/>
  <c r="R69" i="33"/>
  <c r="R54" i="33"/>
  <c r="R53" i="33"/>
  <c r="R37" i="33"/>
  <c r="R33" i="33"/>
  <c r="R65" i="33"/>
  <c r="R64" i="33"/>
  <c r="R29" i="33"/>
  <c r="R72" i="33"/>
  <c r="R71" i="33"/>
  <c r="R56" i="33"/>
  <c r="R55" i="33"/>
  <c r="R47" i="33"/>
  <c r="R43" i="33"/>
  <c r="R28" i="33"/>
  <c r="R24" i="33"/>
  <c r="R66" i="33"/>
  <c r="R39" i="33"/>
  <c r="R38" i="33"/>
  <c r="R34" i="33"/>
  <c r="R30" i="33"/>
  <c r="P26" i="33"/>
  <c r="R26" i="33" s="1"/>
  <c r="R73" i="33"/>
  <c r="R58" i="33"/>
  <c r="R57" i="33"/>
  <c r="R76" i="33"/>
  <c r="R75" i="33"/>
  <c r="R48" i="33"/>
  <c r="R44" i="33"/>
  <c r="R40" i="33"/>
  <c r="R67" i="33"/>
  <c r="R59" i="33"/>
  <c r="R35" i="33"/>
  <c r="R31" i="33"/>
  <c r="R50" i="33"/>
  <c r="R49" i="33"/>
  <c r="R45" i="33"/>
  <c r="R41" i="33"/>
  <c r="R80" i="33"/>
  <c r="R68" i="33"/>
  <c r="R61" i="33"/>
  <c r="R60" i="33"/>
  <c r="R36" i="33"/>
  <c r="R32" i="33"/>
  <c r="X12" i="33"/>
  <c r="Z12" i="33" s="1"/>
  <c r="R52" i="33"/>
  <c r="R51" i="33"/>
  <c r="Z28" i="33"/>
  <c r="F118" i="36"/>
  <c r="F101" i="36"/>
  <c r="F97" i="36"/>
  <c r="F93" i="36"/>
  <c r="F92" i="36"/>
  <c r="F111" i="36"/>
  <c r="F103" i="36"/>
  <c r="F99" i="36"/>
  <c r="F95" i="36"/>
  <c r="F83" i="36"/>
  <c r="F109" i="36"/>
  <c r="F104" i="36"/>
  <c r="F91" i="36"/>
  <c r="F79" i="36"/>
  <c r="F47" i="36"/>
  <c r="F43" i="36"/>
  <c r="F122" i="36"/>
  <c r="F98" i="36"/>
  <c r="F87" i="36"/>
  <c r="F74" i="36"/>
  <c r="F68" i="36"/>
  <c r="F62" i="36"/>
  <c r="F38" i="36"/>
  <c r="F34" i="36"/>
  <c r="F30" i="36"/>
  <c r="F29" i="36"/>
  <c r="L12" i="36"/>
  <c r="N12" i="36" s="1"/>
  <c r="F110" i="36"/>
  <c r="F105" i="36"/>
  <c r="F28" i="36"/>
  <c r="F116" i="36"/>
  <c r="F115" i="36"/>
  <c r="F59" i="36"/>
  <c r="F53" i="36"/>
  <c r="F48" i="36"/>
  <c r="F44" i="36"/>
  <c r="D26" i="36"/>
  <c r="F117" i="36"/>
  <c r="F88" i="36"/>
  <c r="F84" i="36"/>
  <c r="F80" i="36"/>
  <c r="F76" i="36"/>
  <c r="F75" i="36"/>
  <c r="F70" i="36"/>
  <c r="F69" i="36"/>
  <c r="F64" i="36"/>
  <c r="F63" i="36"/>
  <c r="F39" i="36"/>
  <c r="F35" i="36"/>
  <c r="F31" i="36"/>
  <c r="F106" i="36"/>
  <c r="F102" i="36"/>
  <c r="F96" i="36"/>
  <c r="F54" i="36"/>
  <c r="F22" i="36"/>
  <c r="F21" i="36"/>
  <c r="F85" i="36"/>
  <c r="F49" i="36"/>
  <c r="F45" i="36"/>
  <c r="F41" i="36"/>
  <c r="F40" i="36"/>
  <c r="F78" i="36"/>
  <c r="F77" i="36"/>
  <c r="F72" i="36"/>
  <c r="F71" i="36"/>
  <c r="F66" i="36"/>
  <c r="F65" i="36"/>
  <c r="F60" i="36"/>
  <c r="F36" i="36"/>
  <c r="F32" i="36"/>
  <c r="F108" i="36"/>
  <c r="F107" i="36"/>
  <c r="F89" i="36"/>
  <c r="F81" i="36"/>
  <c r="F56" i="36"/>
  <c r="F55" i="36"/>
  <c r="F23" i="36"/>
  <c r="F112" i="36"/>
  <c r="F100" i="36"/>
  <c r="F94" i="36"/>
  <c r="F86" i="36"/>
  <c r="F50" i="36"/>
  <c r="F46" i="36"/>
  <c r="F42" i="36"/>
  <c r="F90" i="36"/>
  <c r="F82" i="36"/>
  <c r="F37" i="36"/>
  <c r="F33" i="36"/>
  <c r="F113" i="36"/>
  <c r="F73" i="36"/>
  <c r="F67" i="36"/>
  <c r="F61" i="36"/>
  <c r="F58" i="36"/>
  <c r="F57" i="36"/>
  <c r="F52" i="36"/>
  <c r="F51" i="36"/>
  <c r="F24" i="36"/>
  <c r="V49" i="27"/>
  <c r="V53" i="27"/>
  <c r="V57" i="27"/>
  <c r="J61" i="27"/>
  <c r="J65" i="27"/>
  <c r="J69" i="27"/>
  <c r="V73" i="27"/>
  <c r="J79" i="27"/>
  <c r="J95" i="27"/>
  <c r="V97" i="27"/>
  <c r="V75" i="30"/>
  <c r="Z115" i="30"/>
  <c r="V127" i="30"/>
  <c r="V132" i="30"/>
  <c r="V143" i="30"/>
  <c r="Z55" i="36"/>
  <c r="L20" i="27"/>
  <c r="J42" i="27"/>
  <c r="J60" i="27"/>
  <c r="V62" i="27"/>
  <c r="V66" i="27"/>
  <c r="V70" i="27"/>
  <c r="J78" i="27"/>
  <c r="V82" i="27"/>
  <c r="V90" i="27"/>
  <c r="J94" i="27"/>
  <c r="V98" i="27"/>
  <c r="D101" i="27"/>
  <c r="L101" i="27" s="1"/>
  <c r="N101" i="27" s="1"/>
  <c r="J67" i="30"/>
  <c r="V72" i="30"/>
  <c r="V88" i="30"/>
  <c r="V94" i="30"/>
  <c r="V114" i="30"/>
  <c r="V115" i="30"/>
  <c r="V118" i="30"/>
  <c r="J149" i="30"/>
  <c r="R117" i="36"/>
  <c r="R92" i="36"/>
  <c r="R91" i="36"/>
  <c r="R79" i="36"/>
  <c r="R59" i="36"/>
  <c r="R88" i="36"/>
  <c r="R76" i="36"/>
  <c r="R70" i="36"/>
  <c r="R64" i="36"/>
  <c r="R40" i="36"/>
  <c r="R39" i="36"/>
  <c r="R35" i="36"/>
  <c r="R31" i="36"/>
  <c r="R106" i="36"/>
  <c r="R80" i="36"/>
  <c r="R77" i="36"/>
  <c r="R71" i="36"/>
  <c r="R65" i="36"/>
  <c r="R22" i="36"/>
  <c r="R118" i="36"/>
  <c r="R107" i="36"/>
  <c r="R102" i="36"/>
  <c r="R99" i="36"/>
  <c r="R96" i="36"/>
  <c r="R93" i="36"/>
  <c r="R85" i="36"/>
  <c r="R55" i="36"/>
  <c r="R54" i="36"/>
  <c r="R49" i="36"/>
  <c r="R45" i="36"/>
  <c r="R41" i="36"/>
  <c r="R111" i="36"/>
  <c r="R81" i="36"/>
  <c r="R36" i="36"/>
  <c r="R32" i="36"/>
  <c r="R112" i="36"/>
  <c r="R89" i="36"/>
  <c r="R78" i="36"/>
  <c r="R72" i="36"/>
  <c r="R66" i="36"/>
  <c r="R60" i="36"/>
  <c r="R56" i="36"/>
  <c r="R23" i="36"/>
  <c r="R108" i="36"/>
  <c r="R90" i="36"/>
  <c r="R86" i="36"/>
  <c r="R57" i="36"/>
  <c r="R51" i="36"/>
  <c r="R50" i="36"/>
  <c r="R46" i="36"/>
  <c r="R42" i="36"/>
  <c r="R103" i="36"/>
  <c r="R100" i="36"/>
  <c r="R97" i="36"/>
  <c r="R94" i="36"/>
  <c r="R82" i="36"/>
  <c r="R73" i="36"/>
  <c r="R67" i="36"/>
  <c r="R61" i="36"/>
  <c r="R37" i="36"/>
  <c r="R33" i="36"/>
  <c r="R113" i="36"/>
  <c r="R109" i="36"/>
  <c r="R104" i="36"/>
  <c r="R29" i="36"/>
  <c r="R24" i="36"/>
  <c r="R58" i="36"/>
  <c r="R52" i="36"/>
  <c r="R47" i="36"/>
  <c r="R43" i="36"/>
  <c r="R28" i="36"/>
  <c r="R87" i="36"/>
  <c r="R38" i="36"/>
  <c r="R34" i="36"/>
  <c r="R30" i="36"/>
  <c r="P26" i="36"/>
  <c r="X12" i="36"/>
  <c r="R122" i="36"/>
  <c r="R116" i="36"/>
  <c r="R115" i="36"/>
  <c r="R105" i="36"/>
  <c r="R101" i="36"/>
  <c r="R98" i="36"/>
  <c r="R95" i="36"/>
  <c r="R83" i="36"/>
  <c r="R75" i="36"/>
  <c r="R74" i="36"/>
  <c r="R69" i="36"/>
  <c r="R68" i="36"/>
  <c r="R63" i="36"/>
  <c r="R62" i="36"/>
  <c r="R53" i="36"/>
  <c r="R110" i="36"/>
  <c r="R84" i="36"/>
  <c r="R48" i="36"/>
  <c r="R44" i="36"/>
  <c r="R21" i="36"/>
  <c r="Z63" i="36"/>
  <c r="V35" i="27"/>
  <c r="V39" i="27"/>
  <c r="V43" i="27"/>
  <c r="J51" i="27"/>
  <c r="J55" i="27"/>
  <c r="J59" i="27"/>
  <c r="L60" i="27"/>
  <c r="N60" i="27" s="1"/>
  <c r="V71" i="27"/>
  <c r="J77" i="27"/>
  <c r="J87" i="27"/>
  <c r="V91" i="27"/>
  <c r="X98" i="27"/>
  <c r="J104" i="27"/>
  <c r="V145" i="30"/>
  <c r="V137" i="30"/>
  <c r="V121" i="30"/>
  <c r="V113" i="30"/>
  <c r="V150" i="30"/>
  <c r="V140" i="30"/>
  <c r="V116" i="30"/>
  <c r="V96" i="30"/>
  <c r="V151" i="30"/>
  <c r="V139" i="30"/>
  <c r="V123" i="30"/>
  <c r="V107" i="30"/>
  <c r="V126" i="30"/>
  <c r="V110" i="30"/>
  <c r="V102" i="30"/>
  <c r="V90" i="30"/>
  <c r="V62" i="30"/>
  <c r="V58" i="30"/>
  <c r="V54" i="30"/>
  <c r="V50" i="30"/>
  <c r="L67" i="30"/>
  <c r="J68" i="30"/>
  <c r="V69" i="30"/>
  <c r="V78" i="30"/>
  <c r="V81" i="30"/>
  <c r="V89" i="30"/>
  <c r="V95" i="30"/>
  <c r="J99" i="30"/>
  <c r="V100" i="30"/>
  <c r="Z101" i="30"/>
  <c r="Z104" i="30"/>
  <c r="V111" i="30"/>
  <c r="X115" i="30"/>
  <c r="V120" i="30"/>
  <c r="J126" i="30"/>
  <c r="J129" i="30"/>
  <c r="V136" i="30"/>
  <c r="N142" i="30"/>
  <c r="X150" i="30"/>
  <c r="N56" i="33"/>
  <c r="H124" i="36"/>
  <c r="L75" i="24"/>
  <c r="N75" i="24" s="1"/>
  <c r="L33" i="27"/>
  <c r="N33" i="27" s="1"/>
  <c r="V52" i="27"/>
  <c r="V56" i="27"/>
  <c r="J64" i="27"/>
  <c r="J68" i="27"/>
  <c r="X71" i="27"/>
  <c r="Z71" i="27" s="1"/>
  <c r="J76" i="27"/>
  <c r="L77" i="27"/>
  <c r="N77" i="27" s="1"/>
  <c r="V80" i="27"/>
  <c r="J86" i="27"/>
  <c r="V88" i="27"/>
  <c r="X91" i="27"/>
  <c r="Z91" i="27" s="1"/>
  <c r="V96" i="27"/>
  <c r="J103" i="27"/>
  <c r="V108" i="27"/>
  <c r="X50" i="30"/>
  <c r="Z50" i="30" s="1"/>
  <c r="V61" i="30"/>
  <c r="L68" i="30"/>
  <c r="N68" i="30" s="1"/>
  <c r="V77" i="30"/>
  <c r="V84" i="30"/>
  <c r="X89" i="30"/>
  <c r="X95" i="30"/>
  <c r="Z95" i="30" s="1"/>
  <c r="V101" i="30"/>
  <c r="V104" i="30"/>
  <c r="N109" i="30"/>
  <c r="J122" i="30"/>
  <c r="J131" i="30"/>
  <c r="J138" i="30"/>
  <c r="J142" i="30"/>
  <c r="J148" i="30"/>
  <c r="N29" i="33"/>
  <c r="T124" i="36"/>
  <c r="V124" i="36" s="1"/>
  <c r="J37" i="27"/>
  <c r="J41" i="27"/>
  <c r="H46" i="27"/>
  <c r="V61" i="27"/>
  <c r="V65" i="27"/>
  <c r="V69" i="27"/>
  <c r="J75" i="27"/>
  <c r="V81" i="27"/>
  <c r="J85" i="27"/>
  <c r="J93" i="27"/>
  <c r="J101" i="27"/>
  <c r="Z12" i="30"/>
  <c r="J52" i="30"/>
  <c r="V57" i="30"/>
  <c r="J63" i="30"/>
  <c r="V74" i="30"/>
  <c r="J86" i="30"/>
  <c r="V87" i="30"/>
  <c r="X99" i="30"/>
  <c r="Z99" i="30" s="1"/>
  <c r="X101" i="30"/>
  <c r="V106" i="30"/>
  <c r="J109" i="30"/>
  <c r="X113" i="30"/>
  <c r="Z113" i="30" s="1"/>
  <c r="L128" i="30"/>
  <c r="N128" i="30" s="1"/>
  <c r="V129" i="30"/>
  <c r="J133" i="30"/>
  <c r="X142" i="30"/>
  <c r="Z50" i="33"/>
  <c r="Z56" i="33"/>
  <c r="Z53" i="36"/>
  <c r="Z24" i="33"/>
  <c r="V42" i="33"/>
  <c r="V46" i="33"/>
  <c r="V54" i="33"/>
  <c r="V62" i="33"/>
  <c r="V70" i="33"/>
  <c r="J29" i="36"/>
  <c r="V31" i="36"/>
  <c r="V35" i="36"/>
  <c r="V39" i="36"/>
  <c r="J43" i="36"/>
  <c r="J47" i="36"/>
  <c r="X53" i="36"/>
  <c r="X55" i="36"/>
  <c r="V59" i="36"/>
  <c r="V65" i="36"/>
  <c r="V71" i="36"/>
  <c r="V77" i="36"/>
  <c r="J79" i="36"/>
  <c r="J91" i="36"/>
  <c r="V117" i="36"/>
  <c r="J98" i="39"/>
  <c r="J94" i="39"/>
  <c r="J88" i="39"/>
  <c r="J66" i="39"/>
  <c r="J58" i="39"/>
  <c r="J40" i="39"/>
  <c r="J114" i="39"/>
  <c r="J113" i="39"/>
  <c r="J89" i="39"/>
  <c r="J77" i="39"/>
  <c r="J67" i="39"/>
  <c r="J49" i="39"/>
  <c r="J45" i="39"/>
  <c r="J41" i="39"/>
  <c r="J115" i="39"/>
  <c r="J104" i="39"/>
  <c r="J116" i="39"/>
  <c r="J105" i="39"/>
  <c r="J99" i="39"/>
  <c r="J95" i="39"/>
  <c r="J91" i="39"/>
  <c r="J69" i="39"/>
  <c r="J118" i="39"/>
  <c r="J107" i="39"/>
  <c r="J85" i="39"/>
  <c r="J79" i="39"/>
  <c r="J71" i="39"/>
  <c r="J51" i="39"/>
  <c r="J37" i="39"/>
  <c r="J33" i="39"/>
  <c r="J120" i="39"/>
  <c r="J108" i="39"/>
  <c r="J100" i="39"/>
  <c r="J96" i="39"/>
  <c r="J92" i="39"/>
  <c r="J80" i="39"/>
  <c r="J72" i="39"/>
  <c r="J60" i="39"/>
  <c r="J52" i="39"/>
  <c r="J73" i="39"/>
  <c r="J61" i="39"/>
  <c r="J53" i="39"/>
  <c r="J47" i="39"/>
  <c r="J43" i="39"/>
  <c r="J109" i="39"/>
  <c r="J101" i="39"/>
  <c r="J97" i="39"/>
  <c r="J93" i="39"/>
  <c r="J81" i="39"/>
  <c r="J75" i="39"/>
  <c r="J63" i="39"/>
  <c r="J110" i="39"/>
  <c r="J102" i="39"/>
  <c r="J111" i="39"/>
  <c r="J103" i="39"/>
  <c r="J87" i="39"/>
  <c r="J83" i="39"/>
  <c r="J65" i="39"/>
  <c r="J57" i="39"/>
  <c r="J39" i="39"/>
  <c r="J35" i="39"/>
  <c r="J31" i="39"/>
  <c r="J29" i="39"/>
  <c r="J27" i="39"/>
  <c r="V38" i="39"/>
  <c r="J42" i="39"/>
  <c r="V49" i="39"/>
  <c r="J56" i="39"/>
  <c r="V72" i="39"/>
  <c r="J84" i="39"/>
  <c r="V86" i="39"/>
  <c r="V94" i="39"/>
  <c r="Z29" i="33"/>
  <c r="J31" i="33"/>
  <c r="J35" i="33"/>
  <c r="J59" i="33"/>
  <c r="Z65" i="33"/>
  <c r="J67" i="33"/>
  <c r="J75" i="33"/>
  <c r="J76" i="33"/>
  <c r="V112" i="36"/>
  <c r="V104" i="36"/>
  <c r="V88" i="36"/>
  <c r="V84" i="36"/>
  <c r="V76" i="36"/>
  <c r="V64" i="36"/>
  <c r="V56" i="36"/>
  <c r="V120" i="36"/>
  <c r="V118" i="36"/>
  <c r="V106" i="36"/>
  <c r="V86" i="36"/>
  <c r="V70" i="36"/>
  <c r="J24" i="36"/>
  <c r="V40" i="36"/>
  <c r="V44" i="36"/>
  <c r="V48" i="36"/>
  <c r="J109" i="36"/>
  <c r="V110" i="36"/>
  <c r="J113" i="36"/>
  <c r="V80" i="39"/>
  <c r="Z64" i="42"/>
  <c r="J40" i="33"/>
  <c r="J44" i="33"/>
  <c r="J48" i="33"/>
  <c r="J58" i="33"/>
  <c r="J33" i="36"/>
  <c r="J37" i="36"/>
  <c r="J51" i="36"/>
  <c r="J57" i="36"/>
  <c r="J61" i="36"/>
  <c r="V62" i="36"/>
  <c r="J67" i="36"/>
  <c r="V68" i="36"/>
  <c r="J73" i="36"/>
  <c r="V74" i="36"/>
  <c r="J82" i="36"/>
  <c r="V83" i="36"/>
  <c r="X84" i="36"/>
  <c r="Z84" i="36" s="1"/>
  <c r="V92" i="36"/>
  <c r="V95" i="36"/>
  <c r="J97" i="36"/>
  <c r="V98" i="36"/>
  <c r="V101" i="36"/>
  <c r="J103" i="36"/>
  <c r="V105" i="36"/>
  <c r="V116" i="36"/>
  <c r="V122" i="36"/>
  <c r="Z62" i="42"/>
  <c r="Z83" i="42"/>
  <c r="H26" i="33"/>
  <c r="J39" i="33"/>
  <c r="J57" i="33"/>
  <c r="V61" i="33"/>
  <c r="J73" i="33"/>
  <c r="Z12" i="36"/>
  <c r="V30" i="36"/>
  <c r="V34" i="36"/>
  <c r="V38" i="36"/>
  <c r="J42" i="36"/>
  <c r="J46" i="36"/>
  <c r="J50" i="36"/>
  <c r="L51" i="36"/>
  <c r="N51" i="36" s="1"/>
  <c r="V53" i="36"/>
  <c r="V63" i="36"/>
  <c r="V69" i="36"/>
  <c r="V75" i="36"/>
  <c r="V79" i="36"/>
  <c r="J86" i="36"/>
  <c r="V87" i="36"/>
  <c r="J90" i="36"/>
  <c r="V91" i="36"/>
  <c r="X92" i="36"/>
  <c r="Z92" i="36" s="1"/>
  <c r="J94" i="36"/>
  <c r="J100" i="36"/>
  <c r="V115" i="36"/>
  <c r="V106" i="39"/>
  <c r="V78" i="39"/>
  <c r="V70" i="39"/>
  <c r="V50" i="39"/>
  <c r="V46" i="39"/>
  <c r="V42" i="39"/>
  <c r="V85" i="39"/>
  <c r="V73" i="39"/>
  <c r="V61" i="39"/>
  <c r="V53" i="39"/>
  <c r="V37" i="39"/>
  <c r="V33" i="39"/>
  <c r="V120" i="39"/>
  <c r="V108" i="39"/>
  <c r="V100" i="39"/>
  <c r="V96" i="39"/>
  <c r="V75" i="39"/>
  <c r="V63" i="39"/>
  <c r="V109" i="39"/>
  <c r="V101" i="39"/>
  <c r="V97" i="39"/>
  <c r="V93" i="39"/>
  <c r="V81" i="39"/>
  <c r="V65" i="39"/>
  <c r="V57" i="39"/>
  <c r="V29" i="39"/>
  <c r="V25" i="39"/>
  <c r="V88" i="39"/>
  <c r="V76" i="39"/>
  <c r="V64" i="39"/>
  <c r="V56" i="39"/>
  <c r="V48" i="39"/>
  <c r="V44" i="39"/>
  <c r="V40" i="39"/>
  <c r="V113" i="39"/>
  <c r="V111" i="39"/>
  <c r="V103" i="39"/>
  <c r="V87" i="39"/>
  <c r="V83" i="39"/>
  <c r="V67" i="39"/>
  <c r="V39" i="39"/>
  <c r="V35" i="39"/>
  <c r="V31" i="39"/>
  <c r="V114" i="39"/>
  <c r="V98" i="39"/>
  <c r="V115" i="39"/>
  <c r="V105" i="39"/>
  <c r="V89" i="39"/>
  <c r="V77" i="39"/>
  <c r="V69" i="39"/>
  <c r="V116" i="39"/>
  <c r="V104" i="39"/>
  <c r="V107" i="39"/>
  <c r="V99" i="39"/>
  <c r="V95" i="39"/>
  <c r="V91" i="39"/>
  <c r="V79" i="39"/>
  <c r="V71" i="39"/>
  <c r="V59" i="39"/>
  <c r="V51" i="39"/>
  <c r="V23" i="39"/>
  <c r="T27" i="39"/>
  <c r="V27" i="39" s="1"/>
  <c r="N53" i="39"/>
  <c r="X63" i="39"/>
  <c r="Z63" i="39" s="1"/>
  <c r="N69" i="39"/>
  <c r="L73" i="39"/>
  <c r="N73" i="39" s="1"/>
  <c r="N75" i="39"/>
  <c r="V92" i="39"/>
  <c r="N25" i="45"/>
  <c r="J24" i="33"/>
  <c r="J26" i="33"/>
  <c r="J28" i="33"/>
  <c r="J30" i="33"/>
  <c r="J34" i="33"/>
  <c r="J38" i="33"/>
  <c r="J56" i="33"/>
  <c r="J66" i="33"/>
  <c r="J72" i="33"/>
  <c r="J23" i="36"/>
  <c r="V43" i="36"/>
  <c r="V47" i="36"/>
  <c r="V52" i="36"/>
  <c r="J56" i="36"/>
  <c r="V58" i="36"/>
  <c r="X63" i="36"/>
  <c r="X69" i="36"/>
  <c r="Z69" i="36" s="1"/>
  <c r="X75" i="36"/>
  <c r="Z75" i="36" s="1"/>
  <c r="J89" i="36"/>
  <c r="L90" i="36"/>
  <c r="N90" i="36" s="1"/>
  <c r="L69" i="39"/>
  <c r="V82" i="39"/>
  <c r="Z90" i="39"/>
  <c r="V110" i="39"/>
  <c r="H117" i="42"/>
  <c r="N97" i="42"/>
  <c r="J29" i="33"/>
  <c r="J43" i="33"/>
  <c r="J47" i="33"/>
  <c r="J55" i="33"/>
  <c r="J65" i="33"/>
  <c r="J71" i="33"/>
  <c r="V24" i="36"/>
  <c r="V26" i="36"/>
  <c r="V28" i="36"/>
  <c r="J32" i="36"/>
  <c r="J36" i="36"/>
  <c r="J55" i="36"/>
  <c r="J81" i="36"/>
  <c r="J107" i="36"/>
  <c r="J111" i="36"/>
  <c r="V113" i="36"/>
  <c r="J118" i="36"/>
  <c r="J55" i="39"/>
  <c r="Z67" i="39"/>
  <c r="V90" i="39"/>
  <c r="V102" i="39"/>
  <c r="N105" i="39"/>
  <c r="L105" i="39"/>
  <c r="T117" i="42"/>
  <c r="V117" i="42" s="1"/>
  <c r="Z25" i="45"/>
  <c r="V40" i="33"/>
  <c r="V44" i="33"/>
  <c r="V48" i="33"/>
  <c r="J54" i="33"/>
  <c r="J64" i="33"/>
  <c r="J70" i="33"/>
  <c r="V76" i="33"/>
  <c r="V29" i="36"/>
  <c r="V33" i="36"/>
  <c r="V37" i="36"/>
  <c r="J41" i="36"/>
  <c r="J45" i="36"/>
  <c r="J49" i="36"/>
  <c r="J65" i="36"/>
  <c r="J71" i="36"/>
  <c r="J77" i="36"/>
  <c r="V82" i="36"/>
  <c r="J85" i="36"/>
  <c r="J93" i="36"/>
  <c r="V94" i="36"/>
  <c r="V97" i="36"/>
  <c r="J99" i="36"/>
  <c r="V100" i="36"/>
  <c r="V103" i="36"/>
  <c r="V109" i="36"/>
  <c r="Z53" i="39"/>
  <c r="L55" i="39"/>
  <c r="N55" i="39" s="1"/>
  <c r="V58" i="39"/>
  <c r="V60" i="39"/>
  <c r="V62" i="39"/>
  <c r="Z69" i="39"/>
  <c r="Z73" i="39"/>
  <c r="Z75" i="39"/>
  <c r="D12" i="33"/>
  <c r="J33" i="33"/>
  <c r="J37" i="33"/>
  <c r="J53" i="33"/>
  <c r="J63" i="33"/>
  <c r="J69" i="33"/>
  <c r="J22" i="36"/>
  <c r="J40" i="36"/>
  <c r="V42" i="36"/>
  <c r="V46" i="36"/>
  <c r="V50" i="36"/>
  <c r="L53" i="36"/>
  <c r="N53" i="36" s="1"/>
  <c r="J54" i="36"/>
  <c r="V61" i="36"/>
  <c r="V67" i="36"/>
  <c r="V73" i="36"/>
  <c r="X81" i="36"/>
  <c r="Z90" i="36"/>
  <c r="J96" i="36"/>
  <c r="J102" i="36"/>
  <c r="J106" i="36"/>
  <c r="V108" i="36"/>
  <c r="J124" i="36"/>
  <c r="X13" i="33"/>
  <c r="Z13" i="33" s="1"/>
  <c r="J42" i="33"/>
  <c r="J46" i="33"/>
  <c r="J52" i="33"/>
  <c r="J62" i="33"/>
  <c r="J21" i="36"/>
  <c r="J31" i="36"/>
  <c r="J35" i="36"/>
  <c r="J39" i="36"/>
  <c r="V51" i="36"/>
  <c r="V57" i="36"/>
  <c r="V60" i="36"/>
  <c r="J64" i="36"/>
  <c r="V66" i="36"/>
  <c r="J70" i="36"/>
  <c r="V72" i="36"/>
  <c r="J76" i="36"/>
  <c r="V78" i="36"/>
  <c r="J88" i="36"/>
  <c r="V89" i="36"/>
  <c r="V90" i="36"/>
  <c r="N26" i="45"/>
  <c r="J51" i="33"/>
  <c r="J61" i="33"/>
  <c r="J120" i="36"/>
  <c r="J108" i="36"/>
  <c r="J80" i="36"/>
  <c r="J72" i="36"/>
  <c r="J60" i="36"/>
  <c r="J52" i="36"/>
  <c r="J112" i="36"/>
  <c r="J104" i="36"/>
  <c r="J84" i="36"/>
  <c r="J78" i="36"/>
  <c r="J66" i="36"/>
  <c r="J58" i="36"/>
  <c r="J44" i="36"/>
  <c r="J48" i="36"/>
  <c r="J59" i="36"/>
  <c r="J63" i="36"/>
  <c r="J69" i="36"/>
  <c r="J75" i="36"/>
  <c r="J92" i="36"/>
  <c r="V111" i="36"/>
  <c r="J116" i="36"/>
  <c r="P12" i="39"/>
  <c r="V41" i="39"/>
  <c r="V55" i="39"/>
  <c r="N50" i="42"/>
  <c r="Z54" i="42"/>
  <c r="Z68" i="42"/>
  <c r="J60" i="33"/>
  <c r="J68" i="33"/>
  <c r="J80" i="33"/>
  <c r="V41" i="36"/>
  <c r="V45" i="36"/>
  <c r="V49" i="36"/>
  <c r="J53" i="36"/>
  <c r="V54" i="36"/>
  <c r="V81" i="36"/>
  <c r="J83" i="36"/>
  <c r="V85" i="36"/>
  <c r="V93" i="36"/>
  <c r="J95" i="36"/>
  <c r="V96" i="36"/>
  <c r="V99" i="36"/>
  <c r="J101" i="36"/>
  <c r="V102" i="36"/>
  <c r="J105" i="36"/>
  <c r="J110" i="36"/>
  <c r="J115" i="36"/>
  <c r="V30" i="39"/>
  <c r="V32" i="39"/>
  <c r="V34" i="39"/>
  <c r="V43" i="39"/>
  <c r="V52" i="39"/>
  <c r="X55" i="39"/>
  <c r="Z55" i="39" s="1"/>
  <c r="V66" i="39"/>
  <c r="V68" i="39"/>
  <c r="V74" i="39"/>
  <c r="D113" i="39"/>
  <c r="L113" i="39" s="1"/>
  <c r="J41" i="33"/>
  <c r="J45" i="33"/>
  <c r="V22" i="36"/>
  <c r="J26" i="36"/>
  <c r="J28" i="36"/>
  <c r="J30" i="36"/>
  <c r="J34" i="36"/>
  <c r="J38" i="36"/>
  <c r="V55" i="36"/>
  <c r="L61" i="36"/>
  <c r="N61" i="36" s="1"/>
  <c r="J62" i="36"/>
  <c r="L67" i="36"/>
  <c r="N67" i="36" s="1"/>
  <c r="J68" i="36"/>
  <c r="L73" i="36"/>
  <c r="J74" i="36"/>
  <c r="V80" i="36"/>
  <c r="J87" i="36"/>
  <c r="J98" i="36"/>
  <c r="V107" i="36"/>
  <c r="P115" i="36"/>
  <c r="X115" i="36" s="1"/>
  <c r="J122" i="36"/>
  <c r="D12" i="39"/>
  <c r="H122" i="39"/>
  <c r="J122" i="39" s="1"/>
  <c r="V36" i="39"/>
  <c r="V45" i="39"/>
  <c r="V47" i="39"/>
  <c r="V54" i="39"/>
  <c r="X61" i="39"/>
  <c r="N63" i="39"/>
  <c r="Z37" i="42"/>
  <c r="N48" i="42"/>
  <c r="J20" i="42"/>
  <c r="R21" i="42"/>
  <c r="V40" i="42"/>
  <c r="V44" i="42"/>
  <c r="R49" i="42"/>
  <c r="R50" i="42"/>
  <c r="V52" i="42"/>
  <c r="J56" i="42"/>
  <c r="R57" i="42"/>
  <c r="R58" i="42"/>
  <c r="V60" i="42"/>
  <c r="J66" i="42"/>
  <c r="R69" i="42"/>
  <c r="R70" i="42"/>
  <c r="J74" i="42"/>
  <c r="V76" i="42"/>
  <c r="J80" i="42"/>
  <c r="R81" i="42"/>
  <c r="V87" i="42"/>
  <c r="V90" i="42"/>
  <c r="J92" i="42"/>
  <c r="R93" i="42"/>
  <c r="R96" i="42"/>
  <c r="J100" i="42"/>
  <c r="R102" i="42"/>
  <c r="V108" i="42"/>
  <c r="V84" i="45"/>
  <c r="V80" i="45"/>
  <c r="V60" i="45"/>
  <c r="V48" i="45"/>
  <c r="V91" i="45"/>
  <c r="V75" i="45"/>
  <c r="V90" i="45"/>
  <c r="V70" i="45"/>
  <c r="V62" i="45"/>
  <c r="V93" i="45"/>
  <c r="V85" i="45"/>
  <c r="V81" i="45"/>
  <c r="V77" i="45"/>
  <c r="V92" i="45"/>
  <c r="V71" i="45"/>
  <c r="V63" i="45"/>
  <c r="V51" i="45"/>
  <c r="V35" i="45"/>
  <c r="V31" i="45"/>
  <c r="V27" i="45"/>
  <c r="V96" i="45"/>
  <c r="V94" i="45"/>
  <c r="V86" i="45"/>
  <c r="V82" i="45"/>
  <c r="V78" i="45"/>
  <c r="V66" i="45"/>
  <c r="V73" i="45"/>
  <c r="V87" i="45"/>
  <c r="V83" i="45"/>
  <c r="V79" i="45"/>
  <c r="V67" i="45"/>
  <c r="V100" i="45"/>
  <c r="V89" i="45"/>
  <c r="V69" i="45"/>
  <c r="V57" i="45"/>
  <c r="V33" i="45"/>
  <c r="V29" i="45"/>
  <c r="J20" i="45"/>
  <c r="Z26" i="45"/>
  <c r="F31" i="45"/>
  <c r="F50" i="45"/>
  <c r="J51" i="45"/>
  <c r="L54" i="45"/>
  <c r="N54" i="45" s="1"/>
  <c r="V55" i="45"/>
  <c r="L60" i="45"/>
  <c r="N60" i="45" s="1"/>
  <c r="V61" i="45"/>
  <c r="R30" i="42"/>
  <c r="R34" i="42"/>
  <c r="V49" i="42"/>
  <c r="V57" i="42"/>
  <c r="J65" i="42"/>
  <c r="V69" i="42"/>
  <c r="J73" i="42"/>
  <c r="V77" i="42"/>
  <c r="V81" i="42"/>
  <c r="J85" i="42"/>
  <c r="J89" i="42"/>
  <c r="V93" i="42"/>
  <c r="V96" i="42"/>
  <c r="R101" i="42"/>
  <c r="R106" i="42"/>
  <c r="J31" i="45"/>
  <c r="F34" i="45"/>
  <c r="F46" i="45"/>
  <c r="F60" i="45"/>
  <c r="F81" i="45"/>
  <c r="R40" i="48"/>
  <c r="R36" i="48"/>
  <c r="R32" i="48"/>
  <c r="R71" i="48"/>
  <c r="R60" i="48"/>
  <c r="R59" i="48"/>
  <c r="R27" i="48"/>
  <c r="R23" i="48"/>
  <c r="R51" i="48"/>
  <c r="R50" i="48"/>
  <c r="R61" i="48"/>
  <c r="R42" i="48"/>
  <c r="R41" i="48"/>
  <c r="R37" i="48"/>
  <c r="R33" i="48"/>
  <c r="R53" i="48"/>
  <c r="R52" i="48"/>
  <c r="R28" i="48"/>
  <c r="R24" i="48"/>
  <c r="R44" i="48"/>
  <c r="R43" i="48"/>
  <c r="R20" i="48"/>
  <c r="R63" i="48"/>
  <c r="R62" i="48"/>
  <c r="R55" i="48"/>
  <c r="R54" i="48"/>
  <c r="R38" i="48"/>
  <c r="R34" i="48"/>
  <c r="R19" i="48"/>
  <c r="R17" i="48"/>
  <c r="R15" i="48"/>
  <c r="R46" i="48"/>
  <c r="R45" i="48"/>
  <c r="R29" i="48"/>
  <c r="R25" i="48"/>
  <c r="R21" i="48"/>
  <c r="P17" i="48"/>
  <c r="R64" i="48"/>
  <c r="R57" i="48"/>
  <c r="R56" i="48"/>
  <c r="R67" i="48"/>
  <c r="R66" i="48"/>
  <c r="R48" i="48"/>
  <c r="R47" i="48"/>
  <c r="R39" i="48"/>
  <c r="R35" i="48"/>
  <c r="R58" i="48"/>
  <c r="R31" i="48"/>
  <c r="R30" i="48"/>
  <c r="R26" i="48"/>
  <c r="R22" i="48"/>
  <c r="X12" i="48"/>
  <c r="Z12" i="48" s="1"/>
  <c r="R49" i="48"/>
  <c r="L16" i="54"/>
  <c r="D22" i="54"/>
  <c r="V30" i="42"/>
  <c r="V34" i="42"/>
  <c r="R39" i="42"/>
  <c r="R43" i="42"/>
  <c r="R47" i="42"/>
  <c r="R48" i="42"/>
  <c r="V50" i="42"/>
  <c r="V58" i="42"/>
  <c r="J64" i="42"/>
  <c r="R67" i="42"/>
  <c r="R68" i="42"/>
  <c r="V70" i="42"/>
  <c r="R75" i="42"/>
  <c r="R86" i="42"/>
  <c r="J95" i="42"/>
  <c r="J99" i="42"/>
  <c r="V101" i="42"/>
  <c r="V102" i="42"/>
  <c r="J104" i="42"/>
  <c r="V106" i="42"/>
  <c r="J111" i="42"/>
  <c r="F26" i="45"/>
  <c r="F27" i="45"/>
  <c r="J34" i="45"/>
  <c r="F38" i="45"/>
  <c r="F43" i="45"/>
  <c r="J46" i="45"/>
  <c r="J50" i="45"/>
  <c r="F57" i="45"/>
  <c r="F63" i="45"/>
  <c r="X105" i="39"/>
  <c r="Z105" i="39" s="1"/>
  <c r="D12" i="42"/>
  <c r="R20" i="42"/>
  <c r="V39" i="42"/>
  <c r="V43" i="42"/>
  <c r="V47" i="42"/>
  <c r="R56" i="42"/>
  <c r="J63" i="42"/>
  <c r="V67" i="42"/>
  <c r="V75" i="42"/>
  <c r="J79" i="42"/>
  <c r="R80" i="42"/>
  <c r="V86" i="42"/>
  <c r="R89" i="42"/>
  <c r="R92" i="42"/>
  <c r="J27" i="45"/>
  <c r="F30" i="45"/>
  <c r="J38" i="45"/>
  <c r="F49" i="45"/>
  <c r="J57" i="45"/>
  <c r="J63" i="45"/>
  <c r="F68" i="45"/>
  <c r="J86" i="45"/>
  <c r="X90" i="39"/>
  <c r="J105" i="42"/>
  <c r="J97" i="42"/>
  <c r="J113" i="42"/>
  <c r="J101" i="42"/>
  <c r="V20" i="42"/>
  <c r="J24" i="42"/>
  <c r="J26" i="42"/>
  <c r="J28" i="42"/>
  <c r="R29" i="42"/>
  <c r="J32" i="42"/>
  <c r="R33" i="42"/>
  <c r="J36" i="42"/>
  <c r="L37" i="42"/>
  <c r="N37" i="42" s="1"/>
  <c r="V48" i="42"/>
  <c r="J54" i="42"/>
  <c r="V56" i="42"/>
  <c r="J62" i="42"/>
  <c r="R65" i="42"/>
  <c r="R66" i="42"/>
  <c r="V68" i="42"/>
  <c r="J72" i="42"/>
  <c r="R73" i="42"/>
  <c r="R74" i="42"/>
  <c r="V80" i="42"/>
  <c r="N83" i="42"/>
  <c r="J88" i="42"/>
  <c r="V89" i="42"/>
  <c r="V92" i="42"/>
  <c r="R95" i="42"/>
  <c r="R100" i="42"/>
  <c r="R105" i="42"/>
  <c r="D108" i="42"/>
  <c r="L108" i="42" s="1"/>
  <c r="J117" i="42"/>
  <c r="F19" i="45"/>
  <c r="D23" i="45"/>
  <c r="F23" i="45" s="1"/>
  <c r="J25" i="45"/>
  <c r="J26" i="45"/>
  <c r="J30" i="45"/>
  <c r="F37" i="45"/>
  <c r="J49" i="45"/>
  <c r="N68" i="45"/>
  <c r="L68" i="45"/>
  <c r="F70" i="45"/>
  <c r="J72" i="45"/>
  <c r="N46" i="51"/>
  <c r="R19" i="42"/>
  <c r="J27" i="42"/>
  <c r="V29" i="42"/>
  <c r="V33" i="42"/>
  <c r="R38" i="42"/>
  <c r="J41" i="42"/>
  <c r="R42" i="42"/>
  <c r="J45" i="42"/>
  <c r="R46" i="42"/>
  <c r="J53" i="42"/>
  <c r="J61" i="42"/>
  <c r="V65" i="42"/>
  <c r="V73" i="42"/>
  <c r="J83" i="42"/>
  <c r="J91" i="42"/>
  <c r="J94" i="42"/>
  <c r="V95" i="42"/>
  <c r="J98" i="42"/>
  <c r="R99" i="42"/>
  <c r="R104" i="42"/>
  <c r="J110" i="42"/>
  <c r="L18" i="45"/>
  <c r="N18" i="45" s="1"/>
  <c r="J19" i="45"/>
  <c r="H23" i="45"/>
  <c r="L26" i="45"/>
  <c r="F33" i="45"/>
  <c r="N37" i="45"/>
  <c r="F40" i="45"/>
  <c r="L48" i="45"/>
  <c r="N48" i="45" s="1"/>
  <c r="F56" i="45"/>
  <c r="F62" i="45"/>
  <c r="J84" i="45"/>
  <c r="N42" i="48"/>
  <c r="Z48" i="48"/>
  <c r="R76" i="51"/>
  <c r="R75" i="51"/>
  <c r="R39" i="51"/>
  <c r="R35" i="51"/>
  <c r="R70" i="51"/>
  <c r="R69" i="51"/>
  <c r="R46" i="51"/>
  <c r="R41" i="51"/>
  <c r="R37" i="51"/>
  <c r="R33" i="51"/>
  <c r="R93" i="51"/>
  <c r="R66" i="51"/>
  <c r="R59" i="51"/>
  <c r="R38" i="51"/>
  <c r="R94" i="51"/>
  <c r="R87" i="51"/>
  <c r="R82" i="51"/>
  <c r="R71" i="51"/>
  <c r="R63" i="51"/>
  <c r="R55" i="51"/>
  <c r="R52" i="51"/>
  <c r="R83" i="51"/>
  <c r="R72" i="51"/>
  <c r="R60" i="51"/>
  <c r="R49" i="51"/>
  <c r="R45" i="51"/>
  <c r="P43" i="51"/>
  <c r="R88" i="51"/>
  <c r="R77" i="51"/>
  <c r="R67" i="51"/>
  <c r="R36" i="51"/>
  <c r="R89" i="51"/>
  <c r="R68" i="51"/>
  <c r="R64" i="51"/>
  <c r="R73" i="51"/>
  <c r="R57" i="51"/>
  <c r="R56" i="51"/>
  <c r="R53" i="51"/>
  <c r="R85" i="51"/>
  <c r="R84" i="51"/>
  <c r="R79" i="51"/>
  <c r="R78" i="51"/>
  <c r="R74" i="51"/>
  <c r="R61" i="51"/>
  <c r="R50" i="51"/>
  <c r="R47" i="51"/>
  <c r="R98" i="51"/>
  <c r="R90" i="51"/>
  <c r="R58" i="51"/>
  <c r="R40" i="51"/>
  <c r="R34" i="51"/>
  <c r="R31" i="51"/>
  <c r="R86" i="51"/>
  <c r="R80" i="51"/>
  <c r="R65" i="51"/>
  <c r="R81" i="51"/>
  <c r="R62" i="51"/>
  <c r="R54" i="51"/>
  <c r="R92" i="51"/>
  <c r="R51" i="51"/>
  <c r="R48" i="51"/>
  <c r="R32" i="51"/>
  <c r="X12" i="51"/>
  <c r="Z12" i="51" s="1"/>
  <c r="J22" i="42"/>
  <c r="V38" i="42"/>
  <c r="V42" i="42"/>
  <c r="V46" i="42"/>
  <c r="J52" i="42"/>
  <c r="R55" i="42"/>
  <c r="J60" i="42"/>
  <c r="R63" i="42"/>
  <c r="R64" i="42"/>
  <c r="V66" i="42"/>
  <c r="V74" i="42"/>
  <c r="J78" i="42"/>
  <c r="R79" i="42"/>
  <c r="J82" i="42"/>
  <c r="V84" i="42"/>
  <c r="V85" i="42"/>
  <c r="V100" i="42"/>
  <c r="L102" i="42"/>
  <c r="J103" i="42"/>
  <c r="V104" i="42"/>
  <c r="J109" i="42"/>
  <c r="P12" i="45"/>
  <c r="F18" i="45"/>
  <c r="J23" i="45"/>
  <c r="J33" i="45"/>
  <c r="V34" i="45"/>
  <c r="F36" i="45"/>
  <c r="J37" i="45"/>
  <c r="V38" i="45"/>
  <c r="J40" i="45"/>
  <c r="V43" i="45"/>
  <c r="F48" i="45"/>
  <c r="V54" i="45"/>
  <c r="N56" i="45"/>
  <c r="N62" i="45"/>
  <c r="L77" i="45"/>
  <c r="N77" i="45" s="1"/>
  <c r="V88" i="45"/>
  <c r="N91" i="45"/>
  <c r="Z46" i="51"/>
  <c r="R110" i="42"/>
  <c r="R85" i="42"/>
  <c r="R84" i="42"/>
  <c r="P24" i="42"/>
  <c r="R28" i="42"/>
  <c r="R32" i="42"/>
  <c r="R36" i="42"/>
  <c r="R37" i="42"/>
  <c r="V55" i="42"/>
  <c r="V63" i="42"/>
  <c r="R72" i="42"/>
  <c r="V79" i="42"/>
  <c r="R88" i="42"/>
  <c r="R91" i="42"/>
  <c r="J108" i="42"/>
  <c r="F29" i="45"/>
  <c r="J36" i="45"/>
  <c r="J62" i="45"/>
  <c r="Z68" i="45"/>
  <c r="J82" i="45"/>
  <c r="V113" i="42"/>
  <c r="V111" i="42"/>
  <c r="V99" i="42"/>
  <c r="V105" i="42"/>
  <c r="V97" i="42"/>
  <c r="R24" i="42"/>
  <c r="R26" i="42"/>
  <c r="V28" i="42"/>
  <c r="V32" i="42"/>
  <c r="V36" i="42"/>
  <c r="R41" i="42"/>
  <c r="J44" i="42"/>
  <c r="R45" i="42"/>
  <c r="J50" i="42"/>
  <c r="R53" i="42"/>
  <c r="R54" i="42"/>
  <c r="J58" i="42"/>
  <c r="R61" i="42"/>
  <c r="R62" i="42"/>
  <c r="V64" i="42"/>
  <c r="J70" i="42"/>
  <c r="V72" i="42"/>
  <c r="J76" i="42"/>
  <c r="R83" i="42"/>
  <c r="J87" i="42"/>
  <c r="V88" i="42"/>
  <c r="J90" i="42"/>
  <c r="V91" i="42"/>
  <c r="R94" i="42"/>
  <c r="L97" i="42"/>
  <c r="R98" i="42"/>
  <c r="J115" i="42"/>
  <c r="F73" i="45"/>
  <c r="F72" i="45"/>
  <c r="F65" i="45"/>
  <c r="F64" i="45"/>
  <c r="F53" i="45"/>
  <c r="F52" i="45"/>
  <c r="F45" i="45"/>
  <c r="F41" i="45"/>
  <c r="F96" i="45"/>
  <c r="F87" i="45"/>
  <c r="F83" i="45"/>
  <c r="F79" i="45"/>
  <c r="F67" i="45"/>
  <c r="F66" i="45"/>
  <c r="F55" i="45"/>
  <c r="F54" i="45"/>
  <c r="F100" i="45"/>
  <c r="F74" i="45"/>
  <c r="F89" i="45"/>
  <c r="F88" i="45"/>
  <c r="F84" i="45"/>
  <c r="F80" i="45"/>
  <c r="F20" i="45"/>
  <c r="F75" i="45"/>
  <c r="F59" i="45"/>
  <c r="F58" i="45"/>
  <c r="F90" i="45"/>
  <c r="F92" i="45"/>
  <c r="F91" i="45"/>
  <c r="F76" i="45"/>
  <c r="F94" i="45"/>
  <c r="F93" i="45"/>
  <c r="F86" i="45"/>
  <c r="F82" i="45"/>
  <c r="F78" i="45"/>
  <c r="F77" i="45"/>
  <c r="F25" i="45"/>
  <c r="J18" i="45"/>
  <c r="F21" i="45"/>
  <c r="J29" i="45"/>
  <c r="F32" i="45"/>
  <c r="J42" i="45"/>
  <c r="J48" i="45"/>
  <c r="V50" i="45"/>
  <c r="F61" i="45"/>
  <c r="Z77" i="45"/>
  <c r="X77" i="45"/>
  <c r="Z91" i="45"/>
  <c r="X12" i="42"/>
  <c r="R22" i="42"/>
  <c r="R27" i="42"/>
  <c r="V37" i="42"/>
  <c r="V41" i="42"/>
  <c r="V45" i="42"/>
  <c r="L50" i="42"/>
  <c r="V53" i="42"/>
  <c r="J57" i="42"/>
  <c r="L58" i="42"/>
  <c r="V61" i="42"/>
  <c r="X64" i="42"/>
  <c r="J69" i="42"/>
  <c r="L70" i="42"/>
  <c r="N70" i="42" s="1"/>
  <c r="R78" i="42"/>
  <c r="J81" i="42"/>
  <c r="R82" i="42"/>
  <c r="J93" i="42"/>
  <c r="V94" i="42"/>
  <c r="J96" i="42"/>
  <c r="V98" i="42"/>
  <c r="J102" i="42"/>
  <c r="R103" i="42"/>
  <c r="V110" i="42"/>
  <c r="J96" i="45"/>
  <c r="J66" i="45"/>
  <c r="J54" i="45"/>
  <c r="J87" i="45"/>
  <c r="J83" i="45"/>
  <c r="J79" i="45"/>
  <c r="J67" i="45"/>
  <c r="J100" i="45"/>
  <c r="J88" i="45"/>
  <c r="J74" i="45"/>
  <c r="J68" i="45"/>
  <c r="J56" i="45"/>
  <c r="J89" i="45"/>
  <c r="J69" i="45"/>
  <c r="J75" i="45"/>
  <c r="J59" i="45"/>
  <c r="J47" i="45"/>
  <c r="J43" i="45"/>
  <c r="J39" i="45"/>
  <c r="J90" i="45"/>
  <c r="J70" i="45"/>
  <c r="J60" i="45"/>
  <c r="J91" i="45"/>
  <c r="J85" i="45"/>
  <c r="J81" i="45"/>
  <c r="J92" i="45"/>
  <c r="J93" i="45"/>
  <c r="J77" i="45"/>
  <c r="J71" i="45"/>
  <c r="J94" i="45"/>
  <c r="J73" i="45"/>
  <c r="J65" i="45"/>
  <c r="J53" i="45"/>
  <c r="J45" i="45"/>
  <c r="J41" i="45"/>
  <c r="J21" i="45"/>
  <c r="V25" i="45"/>
  <c r="J32" i="45"/>
  <c r="F47" i="45"/>
  <c r="X50" i="45"/>
  <c r="Z50" i="45" s="1"/>
  <c r="J52" i="45"/>
  <c r="J55" i="45"/>
  <c r="J61" i="45"/>
  <c r="F71" i="45"/>
  <c r="L90" i="39"/>
  <c r="N90" i="39" s="1"/>
  <c r="Z12" i="42"/>
  <c r="V22" i="42"/>
  <c r="V24" i="42"/>
  <c r="V26" i="42"/>
  <c r="J30" i="42"/>
  <c r="R31" i="42"/>
  <c r="J34" i="42"/>
  <c r="R35" i="42"/>
  <c r="X37" i="42"/>
  <c r="J48" i="42"/>
  <c r="R51" i="42"/>
  <c r="R52" i="42"/>
  <c r="V54" i="42"/>
  <c r="R59" i="42"/>
  <c r="R60" i="42"/>
  <c r="V62" i="42"/>
  <c r="J68" i="42"/>
  <c r="R71" i="42"/>
  <c r="V78" i="42"/>
  <c r="V82" i="42"/>
  <c r="V83" i="42"/>
  <c r="V103" i="42"/>
  <c r="J106" i="42"/>
  <c r="R108" i="42"/>
  <c r="R109" i="42"/>
  <c r="X110" i="42"/>
  <c r="R115" i="42"/>
  <c r="L12" i="45"/>
  <c r="N12" i="45" s="1"/>
  <c r="T98" i="45"/>
  <c r="V98" i="45" s="1"/>
  <c r="V26" i="45"/>
  <c r="F28" i="45"/>
  <c r="F35" i="45"/>
  <c r="Z37" i="45"/>
  <c r="F39" i="45"/>
  <c r="F44" i="45"/>
  <c r="Z56" i="45"/>
  <c r="J78" i="45"/>
  <c r="F85" i="45"/>
  <c r="N72" i="51"/>
  <c r="V27" i="42"/>
  <c r="V31" i="42"/>
  <c r="V35" i="42"/>
  <c r="J39" i="42"/>
  <c r="R40" i="42"/>
  <c r="J43" i="42"/>
  <c r="R44" i="42"/>
  <c r="J47" i="42"/>
  <c r="V51" i="42"/>
  <c r="V59" i="42"/>
  <c r="J67" i="42"/>
  <c r="V71" i="42"/>
  <c r="J75" i="42"/>
  <c r="R76" i="42"/>
  <c r="R77" i="42"/>
  <c r="J86" i="42"/>
  <c r="R87" i="42"/>
  <c r="R90" i="42"/>
  <c r="R97" i="42"/>
  <c r="X102" i="42"/>
  <c r="V109" i="42"/>
  <c r="V115" i="42"/>
  <c r="V23" i="45"/>
  <c r="J28" i="45"/>
  <c r="J35" i="45"/>
  <c r="V37" i="45"/>
  <c r="J44" i="45"/>
  <c r="F51" i="45"/>
  <c r="V56" i="45"/>
  <c r="J58" i="45"/>
  <c r="Z62" i="45"/>
  <c r="J64" i="45"/>
  <c r="F69" i="45"/>
  <c r="J76" i="45"/>
  <c r="H17" i="48"/>
  <c r="F20" i="48"/>
  <c r="F21" i="48"/>
  <c r="F25" i="48"/>
  <c r="F29" i="48"/>
  <c r="V32" i="48"/>
  <c r="V36" i="48"/>
  <c r="V40" i="48"/>
  <c r="F44" i="48"/>
  <c r="F45" i="48"/>
  <c r="J46" i="48"/>
  <c r="J56" i="48"/>
  <c r="V60" i="48"/>
  <c r="J64" i="48"/>
  <c r="V35" i="51"/>
  <c r="V38" i="51"/>
  <c r="V41" i="51"/>
  <c r="J58" i="51"/>
  <c r="V59" i="51"/>
  <c r="J69" i="51"/>
  <c r="N74" i="51"/>
  <c r="V76" i="51"/>
  <c r="J79" i="51"/>
  <c r="J85" i="51"/>
  <c r="V93" i="51"/>
  <c r="N29" i="54"/>
  <c r="J52" i="56"/>
  <c r="N58" i="58"/>
  <c r="Z48" i="59"/>
  <c r="F34" i="48"/>
  <c r="F38" i="48"/>
  <c r="F53" i="48"/>
  <c r="F54" i="48"/>
  <c r="J55" i="48"/>
  <c r="F62" i="48"/>
  <c r="J63" i="48"/>
  <c r="J37" i="51"/>
  <c r="J47" i="51"/>
  <c r="J57" i="51"/>
  <c r="J61" i="51"/>
  <c r="J74" i="51"/>
  <c r="V75" i="51"/>
  <c r="J78" i="51"/>
  <c r="Z92" i="51"/>
  <c r="H16" i="54"/>
  <c r="X20" i="54"/>
  <c r="J20" i="56"/>
  <c r="N41" i="56"/>
  <c r="Z47" i="56"/>
  <c r="J20" i="48"/>
  <c r="J34" i="48"/>
  <c r="J38" i="48"/>
  <c r="F42" i="48"/>
  <c r="F43" i="48"/>
  <c r="J44" i="48"/>
  <c r="J54" i="48"/>
  <c r="J62" i="48"/>
  <c r="X14" i="51"/>
  <c r="J50" i="51"/>
  <c r="J53" i="51"/>
  <c r="V54" i="51"/>
  <c r="N68" i="51"/>
  <c r="V70" i="51"/>
  <c r="J73" i="51"/>
  <c r="L83" i="51"/>
  <c r="N83" i="51" s="1"/>
  <c r="J84" i="51"/>
  <c r="J89" i="51"/>
  <c r="V92" i="51"/>
  <c r="Z45" i="56"/>
  <c r="X45" i="56"/>
  <c r="P73" i="58"/>
  <c r="X16" i="58"/>
  <c r="Z58" i="58"/>
  <c r="D54" i="60"/>
  <c r="L93" i="45"/>
  <c r="N93" i="45" s="1"/>
  <c r="L20" i="48"/>
  <c r="N20" i="48" s="1"/>
  <c r="F24" i="48"/>
  <c r="F28" i="48"/>
  <c r="J43" i="48"/>
  <c r="L44" i="48"/>
  <c r="N44" i="48" s="1"/>
  <c r="F51" i="48"/>
  <c r="F52" i="48"/>
  <c r="J53" i="48"/>
  <c r="J56" i="51"/>
  <c r="J64" i="51"/>
  <c r="V65" i="51"/>
  <c r="J68" i="51"/>
  <c r="V69" i="51"/>
  <c r="X70" i="51"/>
  <c r="Z70" i="51" s="1"/>
  <c r="V81" i="51"/>
  <c r="Z43" i="56"/>
  <c r="N61" i="57"/>
  <c r="J24" i="48"/>
  <c r="J28" i="48"/>
  <c r="X31" i="48"/>
  <c r="Z31" i="48" s="1"/>
  <c r="F33" i="48"/>
  <c r="F37" i="48"/>
  <c r="F41" i="48"/>
  <c r="J42" i="48"/>
  <c r="V48" i="48"/>
  <c r="J52" i="48"/>
  <c r="L53" i="48"/>
  <c r="N53" i="48" s="1"/>
  <c r="F60" i="48"/>
  <c r="F61" i="48"/>
  <c r="V66" i="48"/>
  <c r="J45" i="51"/>
  <c r="J46" i="51"/>
  <c r="J67" i="51"/>
  <c r="J77" i="51"/>
  <c r="J88" i="51"/>
  <c r="V90" i="51"/>
  <c r="V98" i="51"/>
  <c r="Z18" i="55"/>
  <c r="Z20" i="57"/>
  <c r="Z16" i="58"/>
  <c r="T73" i="58"/>
  <c r="Z49" i="60"/>
  <c r="T60" i="61"/>
  <c r="Z16" i="61"/>
  <c r="J33" i="48"/>
  <c r="J37" i="48"/>
  <c r="J41" i="48"/>
  <c r="F50" i="48"/>
  <c r="J51" i="48"/>
  <c r="J61" i="48"/>
  <c r="V31" i="51"/>
  <c r="J33" i="51"/>
  <c r="J39" i="51"/>
  <c r="V47" i="51"/>
  <c r="J49" i="51"/>
  <c r="V50" i="51"/>
  <c r="J60" i="51"/>
  <c r="V61" i="51"/>
  <c r="Z74" i="51"/>
  <c r="V78" i="51"/>
  <c r="J83" i="51"/>
  <c r="V84" i="51"/>
  <c r="R24" i="54"/>
  <c r="R31" i="54"/>
  <c r="R29" i="54"/>
  <c r="R28" i="54"/>
  <c r="R26" i="54"/>
  <c r="X12" i="54"/>
  <c r="R22" i="54"/>
  <c r="R20" i="54"/>
  <c r="R18" i="54"/>
  <c r="R16" i="54"/>
  <c r="R14" i="54"/>
  <c r="Z15" i="57"/>
  <c r="X15" i="57"/>
  <c r="Z61" i="57"/>
  <c r="T17" i="48"/>
  <c r="F23" i="48"/>
  <c r="F27" i="48"/>
  <c r="V34" i="48"/>
  <c r="V38" i="48"/>
  <c r="V46" i="48"/>
  <c r="J50" i="48"/>
  <c r="V54" i="48"/>
  <c r="F59" i="48"/>
  <c r="J60" i="48"/>
  <c r="F71" i="48"/>
  <c r="J52" i="51"/>
  <c r="V53" i="51"/>
  <c r="J55" i="51"/>
  <c r="V56" i="51"/>
  <c r="J63" i="51"/>
  <c r="J71" i="51"/>
  <c r="V73" i="51"/>
  <c r="V74" i="51"/>
  <c r="V79" i="51"/>
  <c r="V85" i="51"/>
  <c r="J94" i="51"/>
  <c r="P22" i="54"/>
  <c r="N28" i="54"/>
  <c r="J40" i="56"/>
  <c r="T17" i="57"/>
  <c r="N45" i="57"/>
  <c r="D71" i="59"/>
  <c r="L67" i="59"/>
  <c r="F31" i="48"/>
  <c r="F32" i="48"/>
  <c r="F36" i="48"/>
  <c r="F40" i="48"/>
  <c r="J59" i="48"/>
  <c r="J71" i="48"/>
  <c r="D12" i="51"/>
  <c r="V57" i="51"/>
  <c r="Z68" i="51"/>
  <c r="J76" i="51"/>
  <c r="J87" i="51"/>
  <c r="J93" i="51"/>
  <c r="L14" i="54"/>
  <c r="T22" i="54"/>
  <c r="J32" i="56"/>
  <c r="J34" i="56"/>
  <c r="X13" i="48"/>
  <c r="Z13" i="48" s="1"/>
  <c r="V20" i="48"/>
  <c r="J32" i="48"/>
  <c r="J36" i="48"/>
  <c r="J40" i="48"/>
  <c r="V44" i="48"/>
  <c r="F48" i="48"/>
  <c r="F49" i="48"/>
  <c r="F66" i="48"/>
  <c r="J90" i="51"/>
  <c r="J82" i="51"/>
  <c r="J72" i="51"/>
  <c r="H43" i="51"/>
  <c r="J38" i="51"/>
  <c r="J34" i="51"/>
  <c r="J98" i="51"/>
  <c r="J40" i="51"/>
  <c r="J36" i="51"/>
  <c r="J32" i="51"/>
  <c r="J59" i="51"/>
  <c r="J66" i="51"/>
  <c r="V67" i="51"/>
  <c r="V68" i="51"/>
  <c r="V77" i="51"/>
  <c r="V89" i="51"/>
  <c r="N92" i="51"/>
  <c r="T31" i="55"/>
  <c r="Z16" i="55"/>
  <c r="L51" i="56"/>
  <c r="N51" i="56" s="1"/>
  <c r="N55" i="56"/>
  <c r="X57" i="56"/>
  <c r="Z57" i="56" s="1"/>
  <c r="Z45" i="57"/>
  <c r="Z30" i="58"/>
  <c r="X93" i="45"/>
  <c r="Z93" i="45" s="1"/>
  <c r="L12" i="48"/>
  <c r="X20" i="48"/>
  <c r="Z20" i="48" s="1"/>
  <c r="F22" i="48"/>
  <c r="F26" i="48"/>
  <c r="F30" i="48"/>
  <c r="J31" i="48"/>
  <c r="X44" i="48"/>
  <c r="Z44" i="48" s="1"/>
  <c r="J49" i="48"/>
  <c r="V53" i="48"/>
  <c r="F57" i="48"/>
  <c r="F58" i="48"/>
  <c r="F67" i="48"/>
  <c r="J35" i="51"/>
  <c r="J41" i="51"/>
  <c r="V46" i="51"/>
  <c r="V49" i="51"/>
  <c r="J51" i="51"/>
  <c r="J70" i="51"/>
  <c r="J81" i="51"/>
  <c r="J92" i="51"/>
  <c r="Z28" i="54"/>
  <c r="D16" i="55"/>
  <c r="N49" i="56"/>
  <c r="L88" i="45"/>
  <c r="N88" i="45" s="1"/>
  <c r="N12" i="48"/>
  <c r="D17" i="48"/>
  <c r="J22" i="48"/>
  <c r="J26" i="48"/>
  <c r="J30" i="48"/>
  <c r="L31" i="48"/>
  <c r="N31" i="48" s="1"/>
  <c r="F35" i="48"/>
  <c r="F39" i="48"/>
  <c r="F46" i="48"/>
  <c r="F47" i="48"/>
  <c r="J48" i="48"/>
  <c r="X53" i="48"/>
  <c r="Z53" i="48" s="1"/>
  <c r="J58" i="48"/>
  <c r="J66" i="48"/>
  <c r="J67" i="48"/>
  <c r="V45" i="51"/>
  <c r="J48" i="51"/>
  <c r="V52" i="51"/>
  <c r="V55" i="51"/>
  <c r="J62" i="51"/>
  <c r="V63" i="51"/>
  <c r="L70" i="51"/>
  <c r="N70" i="51" s="1"/>
  <c r="V71" i="51"/>
  <c r="J75" i="51"/>
  <c r="J62" i="56"/>
  <c r="J54" i="56"/>
  <c r="J42" i="56"/>
  <c r="J63" i="56"/>
  <c r="J55" i="56"/>
  <c r="J43" i="56"/>
  <c r="J37" i="56"/>
  <c r="J33" i="56"/>
  <c r="J64" i="56"/>
  <c r="J56" i="56"/>
  <c r="J44" i="56"/>
  <c r="J28" i="56"/>
  <c r="J24" i="56"/>
  <c r="J57" i="56"/>
  <c r="J45" i="56"/>
  <c r="J68" i="56"/>
  <c r="J66" i="56"/>
  <c r="J58" i="56"/>
  <c r="J46" i="56"/>
  <c r="J38" i="56"/>
  <c r="J59" i="56"/>
  <c r="J47" i="56"/>
  <c r="J29" i="56"/>
  <c r="J25" i="56"/>
  <c r="J21" i="56"/>
  <c r="J19" i="56"/>
  <c r="J17" i="56"/>
  <c r="J15" i="56"/>
  <c r="J70" i="56"/>
  <c r="J60" i="56"/>
  <c r="J48" i="56"/>
  <c r="J30" i="56"/>
  <c r="H17" i="56"/>
  <c r="J49" i="56"/>
  <c r="J39" i="56"/>
  <c r="J35" i="56"/>
  <c r="J31" i="56"/>
  <c r="J75" i="56"/>
  <c r="J72" i="56"/>
  <c r="J50" i="56"/>
  <c r="J26" i="56"/>
  <c r="J22" i="56"/>
  <c r="N12" i="56"/>
  <c r="J61" i="56"/>
  <c r="J51" i="56"/>
  <c r="J53" i="56"/>
  <c r="J41" i="56"/>
  <c r="J27" i="56"/>
  <c r="J23" i="56"/>
  <c r="N47" i="58"/>
  <c r="N18" i="59"/>
  <c r="F15" i="48"/>
  <c r="F19" i="48"/>
  <c r="J35" i="48"/>
  <c r="J39" i="48"/>
  <c r="J47" i="48"/>
  <c r="F55" i="48"/>
  <c r="F56" i="48"/>
  <c r="F63" i="48"/>
  <c r="V86" i="51"/>
  <c r="V66" i="51"/>
  <c r="V62" i="51"/>
  <c r="V58" i="51"/>
  <c r="V88" i="51"/>
  <c r="V80" i="51"/>
  <c r="V72" i="51"/>
  <c r="V64" i="51"/>
  <c r="V60" i="51"/>
  <c r="T43" i="51"/>
  <c r="V43" i="51" s="1"/>
  <c r="J31" i="51"/>
  <c r="J54" i="51"/>
  <c r="J65" i="51"/>
  <c r="J80" i="51"/>
  <c r="V82" i="51"/>
  <c r="J86" i="51"/>
  <c r="V87" i="51"/>
  <c r="V94" i="51"/>
  <c r="P16" i="55"/>
  <c r="P72" i="56"/>
  <c r="Z49" i="56"/>
  <c r="R30" i="57"/>
  <c r="R29" i="57"/>
  <c r="R25" i="57"/>
  <c r="R21" i="57"/>
  <c r="P17" i="57"/>
  <c r="R65" i="57"/>
  <c r="R64" i="57"/>
  <c r="R57" i="57"/>
  <c r="R56" i="57"/>
  <c r="R48" i="57"/>
  <c r="R47" i="57"/>
  <c r="R39" i="57"/>
  <c r="R35" i="57"/>
  <c r="R31" i="57"/>
  <c r="R66" i="57"/>
  <c r="R58" i="57"/>
  <c r="R26" i="57"/>
  <c r="R22" i="57"/>
  <c r="X12" i="57"/>
  <c r="R69" i="57"/>
  <c r="R68" i="57"/>
  <c r="R50" i="57"/>
  <c r="R49" i="57"/>
  <c r="R70" i="57"/>
  <c r="R41" i="57"/>
  <c r="R40" i="57"/>
  <c r="R36" i="57"/>
  <c r="R32" i="57"/>
  <c r="R71" i="57"/>
  <c r="R59" i="57"/>
  <c r="R52" i="57"/>
  <c r="R51" i="57"/>
  <c r="R27" i="57"/>
  <c r="R23" i="57"/>
  <c r="R73" i="57"/>
  <c r="R43" i="57"/>
  <c r="R42" i="57"/>
  <c r="R53" i="57"/>
  <c r="R37" i="57"/>
  <c r="R33" i="57"/>
  <c r="R61" i="57"/>
  <c r="R60" i="57"/>
  <c r="R45" i="57"/>
  <c r="R44" i="57"/>
  <c r="R28" i="57"/>
  <c r="R24" i="57"/>
  <c r="R75" i="57"/>
  <c r="R20" i="57"/>
  <c r="R80" i="57"/>
  <c r="R77" i="57"/>
  <c r="R63" i="57"/>
  <c r="R62" i="57"/>
  <c r="R55" i="57"/>
  <c r="R54" i="57"/>
  <c r="R46" i="57"/>
  <c r="R38" i="57"/>
  <c r="R34" i="57"/>
  <c r="R19" i="57"/>
  <c r="R17" i="57"/>
  <c r="R15" i="57"/>
  <c r="P58" i="60"/>
  <c r="V24" i="54"/>
  <c r="V26" i="54"/>
  <c r="V28" i="54"/>
  <c r="V29" i="54"/>
  <c r="V31" i="54"/>
  <c r="Z12" i="55"/>
  <c r="Z14" i="55"/>
  <c r="D12" i="56"/>
  <c r="V15" i="56"/>
  <c r="V17" i="56"/>
  <c r="V19" i="56"/>
  <c r="R24" i="56"/>
  <c r="R28" i="56"/>
  <c r="R44" i="56"/>
  <c r="R45" i="56"/>
  <c r="V47" i="56"/>
  <c r="R56" i="56"/>
  <c r="R57" i="56"/>
  <c r="V59" i="56"/>
  <c r="R64" i="56"/>
  <c r="V21" i="57"/>
  <c r="V25" i="57"/>
  <c r="V29" i="57"/>
  <c r="J33" i="57"/>
  <c r="J37" i="57"/>
  <c r="F41" i="57"/>
  <c r="F42" i="57"/>
  <c r="J43" i="57"/>
  <c r="J53" i="57"/>
  <c r="V57" i="57"/>
  <c r="V65" i="57"/>
  <c r="D68" i="57"/>
  <c r="L68" i="57" s="1"/>
  <c r="F71" i="57"/>
  <c r="J73" i="57"/>
  <c r="V14" i="58"/>
  <c r="V16" i="58"/>
  <c r="V18" i="58"/>
  <c r="J22" i="58"/>
  <c r="R23" i="58"/>
  <c r="J26" i="58"/>
  <c r="R27" i="58"/>
  <c r="F30" i="58"/>
  <c r="F31" i="58"/>
  <c r="F35" i="58"/>
  <c r="F39" i="58"/>
  <c r="V42" i="58"/>
  <c r="J50" i="58"/>
  <c r="V54" i="58"/>
  <c r="R59" i="58"/>
  <c r="R60" i="58"/>
  <c r="V62" i="58"/>
  <c r="F77" i="58"/>
  <c r="J80" i="58"/>
  <c r="R63" i="59"/>
  <c r="R55" i="59"/>
  <c r="R48" i="59"/>
  <c r="R47" i="59"/>
  <c r="R39" i="59"/>
  <c r="R35" i="59"/>
  <c r="R31" i="59"/>
  <c r="R37" i="59"/>
  <c r="R33" i="59"/>
  <c r="R18" i="59"/>
  <c r="R16" i="59"/>
  <c r="R14" i="59"/>
  <c r="F19" i="59"/>
  <c r="F20" i="59"/>
  <c r="R21" i="59"/>
  <c r="J27" i="59"/>
  <c r="R28" i="59"/>
  <c r="F31" i="59"/>
  <c r="R41" i="59"/>
  <c r="J45" i="59"/>
  <c r="F54" i="59"/>
  <c r="F58" i="59"/>
  <c r="F74" i="59"/>
  <c r="F41" i="60"/>
  <c r="F40" i="60"/>
  <c r="F44" i="60"/>
  <c r="F28" i="60"/>
  <c r="F24" i="60"/>
  <c r="F20" i="60"/>
  <c r="F19" i="60"/>
  <c r="F61" i="60"/>
  <c r="F58" i="60"/>
  <c r="F50" i="60"/>
  <c r="F49" i="60"/>
  <c r="F26" i="60"/>
  <c r="F22" i="60"/>
  <c r="L14" i="60"/>
  <c r="J24" i="60"/>
  <c r="V25" i="60"/>
  <c r="J27" i="60"/>
  <c r="V41" i="60"/>
  <c r="F43" i="60"/>
  <c r="J47" i="60"/>
  <c r="J27" i="61"/>
  <c r="Z48" i="61"/>
  <c r="R89" i="63"/>
  <c r="R62" i="63"/>
  <c r="R61" i="63"/>
  <c r="R50" i="63"/>
  <c r="R49" i="63"/>
  <c r="R41" i="63"/>
  <c r="R92" i="63"/>
  <c r="R91" i="63"/>
  <c r="R80" i="63"/>
  <c r="R76" i="63"/>
  <c r="R69" i="63"/>
  <c r="R68" i="63"/>
  <c r="R36" i="63"/>
  <c r="R32" i="63"/>
  <c r="X12" i="63"/>
  <c r="R93" i="63"/>
  <c r="R64" i="63"/>
  <c r="R63" i="63"/>
  <c r="R52" i="63"/>
  <c r="R51" i="63"/>
  <c r="R27" i="63"/>
  <c r="R23" i="63"/>
  <c r="R95" i="63"/>
  <c r="R70" i="63"/>
  <c r="R43" i="63"/>
  <c r="R42" i="63"/>
  <c r="R19" i="63"/>
  <c r="R82" i="63"/>
  <c r="R81" i="63"/>
  <c r="R77" i="63"/>
  <c r="R65" i="63"/>
  <c r="R54" i="63"/>
  <c r="R53" i="63"/>
  <c r="R37" i="63"/>
  <c r="R33" i="63"/>
  <c r="R18" i="63"/>
  <c r="R16" i="63"/>
  <c r="R14" i="63"/>
  <c r="R45" i="63"/>
  <c r="R44" i="63"/>
  <c r="R29" i="63"/>
  <c r="R28" i="63"/>
  <c r="R24" i="63"/>
  <c r="R20" i="63"/>
  <c r="P16" i="63"/>
  <c r="R97" i="63"/>
  <c r="R84" i="63"/>
  <c r="R83" i="63"/>
  <c r="R71" i="63"/>
  <c r="R56" i="63"/>
  <c r="R55" i="63"/>
  <c r="R102" i="63"/>
  <c r="R99" i="63"/>
  <c r="R78" i="63"/>
  <c r="R66" i="63"/>
  <c r="R46" i="63"/>
  <c r="R38" i="63"/>
  <c r="R34" i="63"/>
  <c r="R30" i="63"/>
  <c r="R86" i="63"/>
  <c r="R85" i="63"/>
  <c r="R58" i="63"/>
  <c r="R57" i="63"/>
  <c r="R25" i="63"/>
  <c r="R21" i="63"/>
  <c r="R73" i="63"/>
  <c r="R72" i="63"/>
  <c r="R88" i="63"/>
  <c r="R87" i="63"/>
  <c r="R79" i="63"/>
  <c r="R67" i="63"/>
  <c r="R60" i="63"/>
  <c r="R59" i="63"/>
  <c r="R48" i="63"/>
  <c r="R47" i="63"/>
  <c r="R40" i="63"/>
  <c r="R39" i="63"/>
  <c r="R35" i="63"/>
  <c r="R31" i="63"/>
  <c r="R75" i="63"/>
  <c r="R74" i="63"/>
  <c r="R26" i="63"/>
  <c r="R22" i="63"/>
  <c r="Z19" i="63"/>
  <c r="Z73" i="63"/>
  <c r="F46" i="69"/>
  <c r="F62" i="69"/>
  <c r="F59" i="69"/>
  <c r="F48" i="69"/>
  <c r="F47" i="69"/>
  <c r="F49" i="69"/>
  <c r="F41" i="69"/>
  <c r="F40" i="69"/>
  <c r="F36" i="69"/>
  <c r="F45" i="69"/>
  <c r="F44" i="69"/>
  <c r="F37" i="69"/>
  <c r="F33" i="69"/>
  <c r="F57" i="69"/>
  <c r="F39" i="69"/>
  <c r="D17" i="69"/>
  <c r="F53" i="69"/>
  <c r="F43" i="69"/>
  <c r="F31" i="69"/>
  <c r="F19" i="69"/>
  <c r="F34" i="69"/>
  <c r="F27" i="69"/>
  <c r="F24" i="69"/>
  <c r="F20" i="69"/>
  <c r="F55" i="69"/>
  <c r="F21" i="69"/>
  <c r="F32" i="69"/>
  <c r="F28" i="69"/>
  <c r="F50" i="69"/>
  <c r="F35" i="69"/>
  <c r="F25" i="69"/>
  <c r="F22" i="69"/>
  <c r="F38" i="69"/>
  <c r="F29" i="69"/>
  <c r="F51" i="69"/>
  <c r="F30" i="69"/>
  <c r="F15" i="69"/>
  <c r="L12" i="69"/>
  <c r="F42" i="69"/>
  <c r="F26" i="69"/>
  <c r="F23" i="69"/>
  <c r="F17" i="69"/>
  <c r="V38" i="57"/>
  <c r="V46" i="57"/>
  <c r="V54" i="57"/>
  <c r="V62" i="57"/>
  <c r="J71" i="57"/>
  <c r="F47" i="58"/>
  <c r="F48" i="58"/>
  <c r="F56" i="58"/>
  <c r="F64" i="58"/>
  <c r="F69" i="58"/>
  <c r="V50" i="59"/>
  <c r="V26" i="59"/>
  <c r="V22" i="59"/>
  <c r="V60" i="59"/>
  <c r="V52" i="59"/>
  <c r="V44" i="59"/>
  <c r="V28" i="59"/>
  <c r="V24" i="59"/>
  <c r="V20" i="59"/>
  <c r="V21" i="59"/>
  <c r="J58" i="59"/>
  <c r="F63" i="59"/>
  <c r="P67" i="59"/>
  <c r="J54" i="60"/>
  <c r="J52" i="60"/>
  <c r="J42" i="60"/>
  <c r="J36" i="60"/>
  <c r="J32" i="60"/>
  <c r="J45" i="60"/>
  <c r="J29" i="60"/>
  <c r="H16" i="60"/>
  <c r="J46" i="60"/>
  <c r="J38" i="60"/>
  <c r="J34" i="60"/>
  <c r="J30" i="60"/>
  <c r="J41" i="60"/>
  <c r="J43" i="60"/>
  <c r="J50" i="60"/>
  <c r="J32" i="61"/>
  <c r="X40" i="61"/>
  <c r="Z40" i="61" s="1"/>
  <c r="J43" i="61"/>
  <c r="H60" i="61"/>
  <c r="F14" i="55"/>
  <c r="F16" i="55"/>
  <c r="F18" i="55"/>
  <c r="V26" i="55"/>
  <c r="F33" i="55"/>
  <c r="V33" i="56"/>
  <c r="V37" i="56"/>
  <c r="R42" i="56"/>
  <c r="R43" i="56"/>
  <c r="V45" i="56"/>
  <c r="R54" i="56"/>
  <c r="R55" i="56"/>
  <c r="V57" i="56"/>
  <c r="R62" i="56"/>
  <c r="R63" i="56"/>
  <c r="V15" i="57"/>
  <c r="V17" i="57"/>
  <c r="V19" i="57"/>
  <c r="J23" i="57"/>
  <c r="J27" i="57"/>
  <c r="F32" i="57"/>
  <c r="F36" i="57"/>
  <c r="F40" i="57"/>
  <c r="J41" i="57"/>
  <c r="J51" i="57"/>
  <c r="V55" i="57"/>
  <c r="J59" i="57"/>
  <c r="V63" i="57"/>
  <c r="F69" i="57"/>
  <c r="J70" i="57"/>
  <c r="V75" i="57"/>
  <c r="V77" i="57"/>
  <c r="V80" i="57"/>
  <c r="F21" i="58"/>
  <c r="F25" i="58"/>
  <c r="F29" i="58"/>
  <c r="J30" i="58"/>
  <c r="J48" i="58"/>
  <c r="J56" i="58"/>
  <c r="R57" i="58"/>
  <c r="R58" i="58"/>
  <c r="J64" i="58"/>
  <c r="R65" i="58"/>
  <c r="J69" i="58"/>
  <c r="J77" i="58"/>
  <c r="X12" i="59"/>
  <c r="J23" i="59"/>
  <c r="F36" i="59"/>
  <c r="V37" i="59"/>
  <c r="F39" i="59"/>
  <c r="V40" i="59"/>
  <c r="V41" i="59"/>
  <c r="J49" i="59"/>
  <c r="V51" i="59"/>
  <c r="F53" i="59"/>
  <c r="J54" i="59"/>
  <c r="V55" i="59"/>
  <c r="F57" i="59"/>
  <c r="J63" i="59"/>
  <c r="F71" i="59"/>
  <c r="J74" i="59"/>
  <c r="L12" i="60"/>
  <c r="J21" i="60"/>
  <c r="J33" i="60"/>
  <c r="J39" i="60"/>
  <c r="N18" i="63"/>
  <c r="L18" i="63"/>
  <c r="H16" i="55"/>
  <c r="R24" i="55"/>
  <c r="R25" i="55"/>
  <c r="F29" i="55"/>
  <c r="F31" i="55"/>
  <c r="V42" i="56"/>
  <c r="V54" i="56"/>
  <c r="V62" i="56"/>
  <c r="X19" i="57"/>
  <c r="Z19" i="57" s="1"/>
  <c r="V20" i="57"/>
  <c r="V24" i="57"/>
  <c r="V28" i="57"/>
  <c r="J32" i="57"/>
  <c r="J36" i="57"/>
  <c r="J40" i="57"/>
  <c r="L41" i="57"/>
  <c r="N41" i="57" s="1"/>
  <c r="V44" i="57"/>
  <c r="F48" i="57"/>
  <c r="F49" i="57"/>
  <c r="J50" i="57"/>
  <c r="X55" i="57"/>
  <c r="Z55" i="57" s="1"/>
  <c r="V60" i="57"/>
  <c r="X63" i="57"/>
  <c r="Z63" i="57" s="1"/>
  <c r="J68" i="57"/>
  <c r="J69" i="57"/>
  <c r="D16" i="58"/>
  <c r="J21" i="58"/>
  <c r="J25" i="58"/>
  <c r="J29" i="58"/>
  <c r="L30" i="58"/>
  <c r="N30" i="58" s="1"/>
  <c r="F34" i="58"/>
  <c r="F38" i="58"/>
  <c r="F45" i="58"/>
  <c r="F46" i="58"/>
  <c r="J47" i="58"/>
  <c r="R50" i="58"/>
  <c r="R51" i="58"/>
  <c r="X60" i="58"/>
  <c r="Z60" i="58" s="1"/>
  <c r="F68" i="58"/>
  <c r="R80" i="58"/>
  <c r="Z12" i="59"/>
  <c r="H67" i="59"/>
  <c r="L18" i="59"/>
  <c r="L19" i="59"/>
  <c r="N19" i="59" s="1"/>
  <c r="N30" i="59"/>
  <c r="F33" i="59"/>
  <c r="V34" i="59"/>
  <c r="J39" i="59"/>
  <c r="F43" i="59"/>
  <c r="F44" i="59"/>
  <c r="Z46" i="59"/>
  <c r="J53" i="59"/>
  <c r="L54" i="59"/>
  <c r="N54" i="59" s="1"/>
  <c r="F62" i="59"/>
  <c r="V67" i="59"/>
  <c r="N12" i="60"/>
  <c r="X19" i="60"/>
  <c r="Z19" i="60" s="1"/>
  <c r="Z47" i="60"/>
  <c r="J67" i="61"/>
  <c r="J64" i="61"/>
  <c r="J52" i="61"/>
  <c r="J40" i="61"/>
  <c r="J26" i="61"/>
  <c r="J22" i="61"/>
  <c r="J53" i="61"/>
  <c r="J55" i="61"/>
  <c r="J45" i="61"/>
  <c r="J37" i="61"/>
  <c r="J33" i="61"/>
  <c r="J19" i="61"/>
  <c r="J56" i="61"/>
  <c r="J46" i="61"/>
  <c r="J28" i="61"/>
  <c r="J24" i="61"/>
  <c r="J20" i="61"/>
  <c r="J18" i="61"/>
  <c r="J16" i="61"/>
  <c r="J14" i="61"/>
  <c r="J60" i="61"/>
  <c r="J58" i="61"/>
  <c r="J48" i="61"/>
  <c r="J38" i="61"/>
  <c r="J34" i="61"/>
  <c r="J30" i="61"/>
  <c r="J51" i="61"/>
  <c r="J39" i="61"/>
  <c r="J35" i="61"/>
  <c r="J31" i="61"/>
  <c r="N29" i="61"/>
  <c r="V14" i="54"/>
  <c r="V16" i="54"/>
  <c r="V18" i="54"/>
  <c r="V20" i="54"/>
  <c r="V22" i="54"/>
  <c r="F26" i="54"/>
  <c r="F28" i="54"/>
  <c r="F29" i="54"/>
  <c r="F31" i="54"/>
  <c r="V24" i="55"/>
  <c r="V23" i="56"/>
  <c r="V27" i="56"/>
  <c r="R32" i="56"/>
  <c r="R36" i="56"/>
  <c r="R40" i="56"/>
  <c r="R41" i="56"/>
  <c r="V43" i="56"/>
  <c r="R52" i="56"/>
  <c r="R53" i="56"/>
  <c r="V55" i="56"/>
  <c r="V63" i="56"/>
  <c r="L12" i="57"/>
  <c r="X20" i="57"/>
  <c r="F22" i="57"/>
  <c r="F26" i="57"/>
  <c r="V33" i="57"/>
  <c r="V37" i="57"/>
  <c r="V45" i="57"/>
  <c r="J49" i="57"/>
  <c r="L50" i="57"/>
  <c r="N50" i="57" s="1"/>
  <c r="V53" i="57"/>
  <c r="F57" i="57"/>
  <c r="F58" i="57"/>
  <c r="V61" i="57"/>
  <c r="F65" i="57"/>
  <c r="F66" i="57"/>
  <c r="F14" i="58"/>
  <c r="F16" i="58"/>
  <c r="F18" i="58"/>
  <c r="R31" i="58"/>
  <c r="J34" i="58"/>
  <c r="R35" i="58"/>
  <c r="J38" i="58"/>
  <c r="R39" i="58"/>
  <c r="X41" i="58"/>
  <c r="Z41" i="58" s="1"/>
  <c r="J46" i="58"/>
  <c r="L47" i="58"/>
  <c r="F54" i="58"/>
  <c r="F55" i="58"/>
  <c r="F62" i="58"/>
  <c r="F63" i="58"/>
  <c r="R69" i="58"/>
  <c r="F75" i="58"/>
  <c r="J16" i="59"/>
  <c r="J26" i="59"/>
  <c r="V27" i="59"/>
  <c r="F29" i="59"/>
  <c r="J30" i="59"/>
  <c r="V31" i="59"/>
  <c r="J33" i="59"/>
  <c r="J44" i="59"/>
  <c r="V45" i="59"/>
  <c r="V46" i="59"/>
  <c r="J57" i="59"/>
  <c r="V58" i="59"/>
  <c r="N62" i="59"/>
  <c r="J71" i="59"/>
  <c r="X16" i="60"/>
  <c r="J26" i="60"/>
  <c r="J49" i="60"/>
  <c r="J61" i="60"/>
  <c r="L12" i="61"/>
  <c r="Z14" i="61"/>
  <c r="J29" i="61"/>
  <c r="J42" i="61"/>
  <c r="J62" i="61"/>
  <c r="N14" i="63"/>
  <c r="L14" i="63"/>
  <c r="N70" i="68"/>
  <c r="R22" i="55"/>
  <c r="R23" i="55"/>
  <c r="R35" i="55"/>
  <c r="R38" i="55"/>
  <c r="V32" i="56"/>
  <c r="V36" i="56"/>
  <c r="V40" i="56"/>
  <c r="V52" i="56"/>
  <c r="R61" i="56"/>
  <c r="N12" i="57"/>
  <c r="J22" i="57"/>
  <c r="J26" i="57"/>
  <c r="F30" i="57"/>
  <c r="F31" i="57"/>
  <c r="F35" i="57"/>
  <c r="F39" i="57"/>
  <c r="V42" i="57"/>
  <c r="F47" i="57"/>
  <c r="J48" i="57"/>
  <c r="J58" i="57"/>
  <c r="J66" i="57"/>
  <c r="H16" i="58"/>
  <c r="F19" i="58"/>
  <c r="F20" i="58"/>
  <c r="F24" i="58"/>
  <c r="F28" i="58"/>
  <c r="F43" i="58"/>
  <c r="F44" i="58"/>
  <c r="J45" i="58"/>
  <c r="R48" i="58"/>
  <c r="R49" i="58"/>
  <c r="J55" i="58"/>
  <c r="R56" i="58"/>
  <c r="J63" i="58"/>
  <c r="R64" i="58"/>
  <c r="J68" i="58"/>
  <c r="R77" i="58"/>
  <c r="L16" i="59"/>
  <c r="F22" i="59"/>
  <c r="J29" i="59"/>
  <c r="F42" i="59"/>
  <c r="J43" i="59"/>
  <c r="J48" i="59"/>
  <c r="V59" i="59"/>
  <c r="F61" i="59"/>
  <c r="J62" i="59"/>
  <c r="V63" i="59"/>
  <c r="V65" i="59"/>
  <c r="V44" i="60"/>
  <c r="V28" i="60"/>
  <c r="V24" i="60"/>
  <c r="V20" i="60"/>
  <c r="V39" i="60"/>
  <c r="V35" i="60"/>
  <c r="V31" i="60"/>
  <c r="V54" i="60"/>
  <c r="V52" i="60"/>
  <c r="V50" i="60"/>
  <c r="V42" i="60"/>
  <c r="V26" i="60"/>
  <c r="V22" i="60"/>
  <c r="V45" i="60"/>
  <c r="V37" i="60"/>
  <c r="V33" i="60"/>
  <c r="V29" i="60"/>
  <c r="T16" i="60"/>
  <c r="V14" i="60"/>
  <c r="V21" i="60"/>
  <c r="J23" i="60"/>
  <c r="V30" i="60"/>
  <c r="V36" i="60"/>
  <c r="V40" i="60"/>
  <c r="L49" i="60"/>
  <c r="N49" i="60" s="1"/>
  <c r="N12" i="61"/>
  <c r="D16" i="61"/>
  <c r="X18" i="61"/>
  <c r="Z18" i="61" s="1"/>
  <c r="J21" i="61"/>
  <c r="X29" i="61"/>
  <c r="L42" i="61"/>
  <c r="N42" i="61" s="1"/>
  <c r="X46" i="61"/>
  <c r="Z46" i="61" s="1"/>
  <c r="J49" i="61"/>
  <c r="N43" i="63"/>
  <c r="N54" i="63"/>
  <c r="Z58" i="63"/>
  <c r="J26" i="54"/>
  <c r="J28" i="54"/>
  <c r="J29" i="54"/>
  <c r="V22" i="55"/>
  <c r="F27" i="55"/>
  <c r="R33" i="55"/>
  <c r="X12" i="56"/>
  <c r="R22" i="56"/>
  <c r="R26" i="56"/>
  <c r="V41" i="56"/>
  <c r="R50" i="56"/>
  <c r="R51" i="56"/>
  <c r="V53" i="56"/>
  <c r="V61" i="56"/>
  <c r="F15" i="57"/>
  <c r="F17" i="57"/>
  <c r="F19" i="57"/>
  <c r="V23" i="57"/>
  <c r="V27" i="57"/>
  <c r="J31" i="57"/>
  <c r="J35" i="57"/>
  <c r="J39" i="57"/>
  <c r="V43" i="57"/>
  <c r="J47" i="57"/>
  <c r="V51" i="57"/>
  <c r="F55" i="57"/>
  <c r="F56" i="57"/>
  <c r="J57" i="57"/>
  <c r="V59" i="57"/>
  <c r="F63" i="57"/>
  <c r="F64" i="57"/>
  <c r="J65" i="57"/>
  <c r="V71" i="57"/>
  <c r="V73" i="57"/>
  <c r="F77" i="57"/>
  <c r="F80" i="57"/>
  <c r="J14" i="58"/>
  <c r="J16" i="58"/>
  <c r="J18" i="58"/>
  <c r="J20" i="58"/>
  <c r="R21" i="58"/>
  <c r="J24" i="58"/>
  <c r="R25" i="58"/>
  <c r="J28" i="58"/>
  <c r="R29" i="58"/>
  <c r="R30" i="58"/>
  <c r="F33" i="58"/>
  <c r="F37" i="58"/>
  <c r="J44" i="58"/>
  <c r="V48" i="58"/>
  <c r="F53" i="58"/>
  <c r="J54" i="58"/>
  <c r="V56" i="58"/>
  <c r="F60" i="58"/>
  <c r="J62" i="58"/>
  <c r="V64" i="58"/>
  <c r="J14" i="59"/>
  <c r="N16" i="59"/>
  <c r="R19" i="59"/>
  <c r="J22" i="59"/>
  <c r="V23" i="59"/>
  <c r="F25" i="59"/>
  <c r="F35" i="59"/>
  <c r="V36" i="59"/>
  <c r="F38" i="59"/>
  <c r="V39" i="59"/>
  <c r="L41" i="59"/>
  <c r="J42" i="59"/>
  <c r="V49" i="59"/>
  <c r="F52" i="59"/>
  <c r="R53" i="59"/>
  <c r="Z54" i="59"/>
  <c r="F56" i="59"/>
  <c r="X57" i="59"/>
  <c r="Z57" i="59" s="1"/>
  <c r="J61" i="59"/>
  <c r="F69" i="59"/>
  <c r="X12" i="60"/>
  <c r="J20" i="60"/>
  <c r="J35" i="60"/>
  <c r="V46" i="60"/>
  <c r="F48" i="60"/>
  <c r="R44" i="61"/>
  <c r="R43" i="61"/>
  <c r="R27" i="61"/>
  <c r="R23" i="61"/>
  <c r="R55" i="61"/>
  <c r="R54" i="61"/>
  <c r="R60" i="61"/>
  <c r="R58" i="61"/>
  <c r="R38" i="61"/>
  <c r="R34" i="61"/>
  <c r="R30" i="61"/>
  <c r="R50" i="61"/>
  <c r="R49" i="61"/>
  <c r="R25" i="61"/>
  <c r="R21" i="61"/>
  <c r="R62" i="61"/>
  <c r="R67" i="61"/>
  <c r="R64" i="61"/>
  <c r="R52" i="61"/>
  <c r="R51" i="61"/>
  <c r="R40" i="61"/>
  <c r="R39" i="61"/>
  <c r="R35" i="61"/>
  <c r="R31" i="61"/>
  <c r="R36" i="61"/>
  <c r="R32" i="61"/>
  <c r="X12" i="61"/>
  <c r="R18" i="61"/>
  <c r="R29" i="61"/>
  <c r="J36" i="61"/>
  <c r="J41" i="61"/>
  <c r="R46" i="61"/>
  <c r="H17" i="57"/>
  <c r="V32" i="57"/>
  <c r="V36" i="57"/>
  <c r="V40" i="57"/>
  <c r="V52" i="57"/>
  <c r="J56" i="57"/>
  <c r="J64" i="57"/>
  <c r="V70" i="57"/>
  <c r="F73" i="58"/>
  <c r="F71" i="58"/>
  <c r="F41" i="58"/>
  <c r="F42" i="58"/>
  <c r="J53" i="58"/>
  <c r="F66" i="58"/>
  <c r="F67" i="58"/>
  <c r="R75" i="58"/>
  <c r="V18" i="59"/>
  <c r="V33" i="59"/>
  <c r="J52" i="59"/>
  <c r="V53" i="59"/>
  <c r="V54" i="59"/>
  <c r="J69" i="59"/>
  <c r="V74" i="59"/>
  <c r="J28" i="60"/>
  <c r="J48" i="60"/>
  <c r="J58" i="60"/>
  <c r="Z29" i="61"/>
  <c r="Z14" i="63"/>
  <c r="X14" i="63"/>
  <c r="N75" i="63"/>
  <c r="F14" i="54"/>
  <c r="F16" i="54"/>
  <c r="F18" i="54"/>
  <c r="F20" i="54"/>
  <c r="R14" i="55"/>
  <c r="R16" i="55"/>
  <c r="R18" i="55"/>
  <c r="V20" i="55"/>
  <c r="V31" i="56"/>
  <c r="V35" i="56"/>
  <c r="V39" i="56"/>
  <c r="R48" i="56"/>
  <c r="R49" i="56"/>
  <c r="V51" i="56"/>
  <c r="R60" i="56"/>
  <c r="R70" i="56"/>
  <c r="J15" i="57"/>
  <c r="J17" i="57"/>
  <c r="J19" i="57"/>
  <c r="J21" i="57"/>
  <c r="J25" i="57"/>
  <c r="J29" i="57"/>
  <c r="F34" i="57"/>
  <c r="F38" i="57"/>
  <c r="V41" i="57"/>
  <c r="F45" i="57"/>
  <c r="F46" i="57"/>
  <c r="V49" i="57"/>
  <c r="F54" i="57"/>
  <c r="J55" i="57"/>
  <c r="F61" i="57"/>
  <c r="F62" i="57"/>
  <c r="J63" i="57"/>
  <c r="V69" i="57"/>
  <c r="J77" i="57"/>
  <c r="J80" i="57"/>
  <c r="J67" i="58"/>
  <c r="J75" i="58"/>
  <c r="F23" i="58"/>
  <c r="F27" i="58"/>
  <c r="J42" i="58"/>
  <c r="R55" i="58"/>
  <c r="F58" i="58"/>
  <c r="F59" i="58"/>
  <c r="J60" i="58"/>
  <c r="R63" i="58"/>
  <c r="R68" i="58"/>
  <c r="J73" i="58"/>
  <c r="T16" i="59"/>
  <c r="X16" i="59" s="1"/>
  <c r="V19" i="59"/>
  <c r="Z30" i="59"/>
  <c r="J47" i="59"/>
  <c r="J25" i="60"/>
  <c r="J44" i="60"/>
  <c r="Z42" i="61"/>
  <c r="J54" i="61"/>
  <c r="N58" i="61"/>
  <c r="L58" i="61"/>
  <c r="Z43" i="63"/>
  <c r="N52" i="63"/>
  <c r="R19" i="55"/>
  <c r="F25" i="55"/>
  <c r="F26" i="55"/>
  <c r="R29" i="55"/>
  <c r="R31" i="55"/>
  <c r="L45" i="56"/>
  <c r="V48" i="56"/>
  <c r="X51" i="56"/>
  <c r="Z51" i="56" s="1"/>
  <c r="L57" i="56"/>
  <c r="N57" i="56" s="1"/>
  <c r="V60" i="56"/>
  <c r="V70" i="56"/>
  <c r="V72" i="56"/>
  <c r="V75" i="56"/>
  <c r="Z12" i="57"/>
  <c r="L15" i="57"/>
  <c r="L19" i="57"/>
  <c r="N19" i="57" s="1"/>
  <c r="J20" i="57"/>
  <c r="V22" i="57"/>
  <c r="V26" i="57"/>
  <c r="J34" i="57"/>
  <c r="J38" i="57"/>
  <c r="X41" i="57"/>
  <c r="Z41" i="57" s="1"/>
  <c r="J46" i="57"/>
  <c r="V50" i="57"/>
  <c r="J54" i="57"/>
  <c r="L55" i="57"/>
  <c r="N55" i="57" s="1"/>
  <c r="V58" i="57"/>
  <c r="J62" i="57"/>
  <c r="L63" i="57"/>
  <c r="N63" i="57" s="1"/>
  <c r="V66" i="57"/>
  <c r="V68" i="57"/>
  <c r="F75" i="57"/>
  <c r="L12" i="58"/>
  <c r="J23" i="58"/>
  <c r="J27" i="58"/>
  <c r="X30" i="58"/>
  <c r="F32" i="58"/>
  <c r="F36" i="58"/>
  <c r="F40" i="58"/>
  <c r="J41" i="58"/>
  <c r="R44" i="58"/>
  <c r="R45" i="58"/>
  <c r="F51" i="58"/>
  <c r="F52" i="58"/>
  <c r="J59" i="58"/>
  <c r="L60" i="58"/>
  <c r="N60" i="58" s="1"/>
  <c r="J66" i="58"/>
  <c r="F18" i="59"/>
  <c r="F16" i="59"/>
  <c r="F14" i="59"/>
  <c r="F49" i="59"/>
  <c r="F48" i="59"/>
  <c r="V16" i="59"/>
  <c r="X19" i="59"/>
  <c r="Z19" i="59" s="1"/>
  <c r="J21" i="59"/>
  <c r="J28" i="59"/>
  <c r="V29" i="59"/>
  <c r="V30" i="59"/>
  <c r="F46" i="59"/>
  <c r="F51" i="59"/>
  <c r="V57" i="59"/>
  <c r="F59" i="59"/>
  <c r="F60" i="59"/>
  <c r="Z62" i="59"/>
  <c r="F65" i="59"/>
  <c r="F67" i="59"/>
  <c r="V71" i="59"/>
  <c r="J18" i="60"/>
  <c r="J19" i="60"/>
  <c r="J22" i="60"/>
  <c r="V61" i="60"/>
  <c r="P16" i="61"/>
  <c r="L48" i="61"/>
  <c r="H16" i="63"/>
  <c r="N19" i="63"/>
  <c r="V14" i="55"/>
  <c r="V16" i="55"/>
  <c r="V18" i="55"/>
  <c r="R27" i="55"/>
  <c r="R15" i="56"/>
  <c r="R17" i="56"/>
  <c r="R19" i="56"/>
  <c r="V21" i="56"/>
  <c r="V25" i="56"/>
  <c r="V29" i="56"/>
  <c r="R34" i="56"/>
  <c r="R38" i="56"/>
  <c r="R46" i="56"/>
  <c r="R47" i="56"/>
  <c r="V49" i="56"/>
  <c r="R58" i="56"/>
  <c r="R59" i="56"/>
  <c r="L20" i="57"/>
  <c r="N20" i="57" s="1"/>
  <c r="F24" i="57"/>
  <c r="F28" i="57"/>
  <c r="V31" i="57"/>
  <c r="V35" i="57"/>
  <c r="V39" i="57"/>
  <c r="F43" i="57"/>
  <c r="F44" i="57"/>
  <c r="J45" i="57"/>
  <c r="V47" i="57"/>
  <c r="X50" i="57"/>
  <c r="Z50" i="57" s="1"/>
  <c r="F60" i="57"/>
  <c r="J61" i="57"/>
  <c r="F73" i="57"/>
  <c r="J75" i="57"/>
  <c r="N12" i="58"/>
  <c r="J32" i="58"/>
  <c r="R33" i="58"/>
  <c r="J36" i="58"/>
  <c r="R37" i="58"/>
  <c r="J40" i="58"/>
  <c r="L41" i="58"/>
  <c r="N41" i="58" s="1"/>
  <c r="X47" i="58"/>
  <c r="Z47" i="58" s="1"/>
  <c r="J52" i="58"/>
  <c r="R53" i="58"/>
  <c r="R54" i="58"/>
  <c r="F57" i="58"/>
  <c r="J58" i="58"/>
  <c r="R61" i="58"/>
  <c r="R62" i="58"/>
  <c r="F65" i="58"/>
  <c r="J71" i="58"/>
  <c r="F80" i="58"/>
  <c r="J38" i="59"/>
  <c r="J34" i="59"/>
  <c r="J56" i="59"/>
  <c r="J50" i="59"/>
  <c r="J40" i="59"/>
  <c r="J36" i="59"/>
  <c r="J32" i="59"/>
  <c r="N12" i="59"/>
  <c r="F24" i="59"/>
  <c r="X30" i="59"/>
  <c r="V35" i="59"/>
  <c r="F37" i="59"/>
  <c r="V38" i="59"/>
  <c r="F40" i="59"/>
  <c r="V42" i="59"/>
  <c r="V48" i="59"/>
  <c r="J51" i="59"/>
  <c r="F55" i="59"/>
  <c r="V56" i="59"/>
  <c r="J60" i="59"/>
  <c r="V61" i="59"/>
  <c r="V62" i="59"/>
  <c r="J67" i="59"/>
  <c r="J16" i="60"/>
  <c r="J31" i="60"/>
  <c r="J37" i="60"/>
  <c r="X49" i="60"/>
  <c r="J25" i="61"/>
  <c r="J44" i="61"/>
  <c r="Z58" i="61"/>
  <c r="X58" i="61"/>
  <c r="N29" i="63"/>
  <c r="R46" i="68"/>
  <c r="R42" i="68"/>
  <c r="R68" i="68"/>
  <c r="R48" i="68"/>
  <c r="R44" i="68"/>
  <c r="R40" i="68"/>
  <c r="R29" i="68"/>
  <c r="R85" i="68"/>
  <c r="R78" i="68"/>
  <c r="R73" i="68"/>
  <c r="R70" i="68"/>
  <c r="R66" i="68"/>
  <c r="R43" i="68"/>
  <c r="R36" i="68"/>
  <c r="R25" i="68"/>
  <c r="R67" i="68"/>
  <c r="R61" i="68"/>
  <c r="R55" i="68"/>
  <c r="R33" i="68"/>
  <c r="R22" i="68"/>
  <c r="R79" i="68"/>
  <c r="R49" i="68"/>
  <c r="X12" i="68"/>
  <c r="R74" i="68"/>
  <c r="R71" i="68"/>
  <c r="R62" i="68"/>
  <c r="R56" i="68"/>
  <c r="R50" i="68"/>
  <c r="R37" i="68"/>
  <c r="P27" i="68"/>
  <c r="R75" i="68"/>
  <c r="R41" i="68"/>
  <c r="R30" i="68"/>
  <c r="R81" i="68"/>
  <c r="R47" i="68"/>
  <c r="R34" i="68"/>
  <c r="R23" i="68"/>
  <c r="R64" i="68"/>
  <c r="R63" i="68"/>
  <c r="R31" i="68"/>
  <c r="R76" i="68"/>
  <c r="R72" i="68"/>
  <c r="R58" i="68"/>
  <c r="R57" i="68"/>
  <c r="R52" i="68"/>
  <c r="R51" i="68"/>
  <c r="R38" i="68"/>
  <c r="R65" i="68"/>
  <c r="R39" i="68"/>
  <c r="R35" i="68"/>
  <c r="R69" i="68"/>
  <c r="R59" i="68"/>
  <c r="R53" i="68"/>
  <c r="R45" i="68"/>
  <c r="R24" i="68"/>
  <c r="R77" i="68"/>
  <c r="R60" i="68"/>
  <c r="R54" i="68"/>
  <c r="R32" i="68"/>
  <c r="F23" i="55"/>
  <c r="F24" i="55"/>
  <c r="V27" i="55"/>
  <c r="V29" i="55"/>
  <c r="F35" i="55"/>
  <c r="T17" i="56"/>
  <c r="V30" i="56"/>
  <c r="V34" i="56"/>
  <c r="V38" i="56"/>
  <c r="V46" i="56"/>
  <c r="R66" i="56"/>
  <c r="J24" i="57"/>
  <c r="J28" i="57"/>
  <c r="F33" i="57"/>
  <c r="F37" i="57"/>
  <c r="J44" i="57"/>
  <c r="V48" i="57"/>
  <c r="F52" i="57"/>
  <c r="V56" i="57"/>
  <c r="R73" i="58"/>
  <c r="R71" i="58"/>
  <c r="R19" i="58"/>
  <c r="F22" i="58"/>
  <c r="F26" i="58"/>
  <c r="R42" i="58"/>
  <c r="R43" i="58"/>
  <c r="F49" i="58"/>
  <c r="F50" i="58"/>
  <c r="J51" i="58"/>
  <c r="J57" i="58"/>
  <c r="J65" i="58"/>
  <c r="L12" i="59"/>
  <c r="V14" i="59"/>
  <c r="J24" i="59"/>
  <c r="V25" i="59"/>
  <c r="F27" i="59"/>
  <c r="F34" i="59"/>
  <c r="J37" i="59"/>
  <c r="X41" i="59"/>
  <c r="Z41" i="59" s="1"/>
  <c r="V43" i="59"/>
  <c r="F45" i="59"/>
  <c r="J46" i="59"/>
  <c r="V47" i="59"/>
  <c r="F50" i="59"/>
  <c r="J55" i="59"/>
  <c r="J59" i="59"/>
  <c r="J65" i="59"/>
  <c r="V69" i="59"/>
  <c r="J14" i="60"/>
  <c r="J40" i="60"/>
  <c r="X52" i="60"/>
  <c r="J47" i="61"/>
  <c r="T16" i="63"/>
  <c r="R19" i="60"/>
  <c r="R56" i="60"/>
  <c r="V19" i="61"/>
  <c r="V23" i="61"/>
  <c r="V27" i="61"/>
  <c r="V43" i="61"/>
  <c r="V55" i="61"/>
  <c r="F62" i="61"/>
  <c r="D16" i="63"/>
  <c r="J21" i="63"/>
  <c r="J25" i="63"/>
  <c r="F29" i="63"/>
  <c r="F30" i="63"/>
  <c r="F34" i="63"/>
  <c r="F38" i="63"/>
  <c r="V41" i="63"/>
  <c r="F45" i="63"/>
  <c r="F46" i="63"/>
  <c r="V49" i="63"/>
  <c r="J57" i="63"/>
  <c r="V61" i="63"/>
  <c r="F66" i="63"/>
  <c r="V69" i="63"/>
  <c r="F78" i="63"/>
  <c r="J85" i="63"/>
  <c r="V89" i="63"/>
  <c r="V91" i="63"/>
  <c r="J99" i="63"/>
  <c r="J102" i="63"/>
  <c r="J38" i="68"/>
  <c r="J42" i="68"/>
  <c r="J64" i="68"/>
  <c r="J72" i="68"/>
  <c r="V73" i="68"/>
  <c r="J76" i="68"/>
  <c r="V21" i="69"/>
  <c r="R34" i="69"/>
  <c r="R46" i="69"/>
  <c r="R49" i="69"/>
  <c r="Z76" i="70"/>
  <c r="V22" i="63"/>
  <c r="V26" i="63"/>
  <c r="V50" i="63"/>
  <c r="F54" i="63"/>
  <c r="F55" i="63"/>
  <c r="V62" i="63"/>
  <c r="F71" i="63"/>
  <c r="V74" i="63"/>
  <c r="F82" i="63"/>
  <c r="F83" i="63"/>
  <c r="F97" i="63"/>
  <c r="J31" i="68"/>
  <c r="V32" i="68"/>
  <c r="V48" i="68"/>
  <c r="J51" i="68"/>
  <c r="J57" i="68"/>
  <c r="J63" i="68"/>
  <c r="V70" i="68"/>
  <c r="V78" i="68"/>
  <c r="R24" i="69"/>
  <c r="R27" i="69"/>
  <c r="X47" i="70"/>
  <c r="V39" i="63"/>
  <c r="V47" i="63"/>
  <c r="V59" i="63"/>
  <c r="V67" i="63"/>
  <c r="J71" i="63"/>
  <c r="V75" i="63"/>
  <c r="V79" i="63"/>
  <c r="J83" i="63"/>
  <c r="V87" i="63"/>
  <c r="F95" i="63"/>
  <c r="J97" i="63"/>
  <c r="V24" i="68"/>
  <c r="J29" i="68"/>
  <c r="J30" i="68"/>
  <c r="J34" i="68"/>
  <c r="V45" i="68"/>
  <c r="V54" i="68"/>
  <c r="V60" i="68"/>
  <c r="V69" i="68"/>
  <c r="J81" i="68"/>
  <c r="X19" i="69"/>
  <c r="R20" i="69"/>
  <c r="R43" i="69"/>
  <c r="Z47" i="70"/>
  <c r="Z15" i="72"/>
  <c r="N53" i="72"/>
  <c r="L29" i="63"/>
  <c r="F33" i="63"/>
  <c r="F37" i="63"/>
  <c r="V40" i="63"/>
  <c r="L45" i="63"/>
  <c r="N45" i="63" s="1"/>
  <c r="V48" i="63"/>
  <c r="F52" i="63"/>
  <c r="F53" i="63"/>
  <c r="J54" i="63"/>
  <c r="V60" i="63"/>
  <c r="F64" i="63"/>
  <c r="F65" i="63"/>
  <c r="V72" i="63"/>
  <c r="X75" i="63"/>
  <c r="Z75" i="63" s="1"/>
  <c r="F77" i="63"/>
  <c r="F81" i="63"/>
  <c r="J82" i="63"/>
  <c r="V88" i="63"/>
  <c r="D91" i="63"/>
  <c r="L91" i="63" s="1"/>
  <c r="N91" i="63" s="1"/>
  <c r="D12" i="68"/>
  <c r="X13" i="68"/>
  <c r="J23" i="68"/>
  <c r="H27" i="68"/>
  <c r="J27" i="68" s="1"/>
  <c r="L29" i="68"/>
  <c r="N29" i="68" s="1"/>
  <c r="L30" i="68"/>
  <c r="N30" i="68" s="1"/>
  <c r="Z39" i="68"/>
  <c r="V42" i="68"/>
  <c r="J44" i="68"/>
  <c r="L81" i="68"/>
  <c r="N17" i="69"/>
  <c r="R19" i="69"/>
  <c r="V21" i="63"/>
  <c r="V25" i="63"/>
  <c r="X40" i="63"/>
  <c r="Z40" i="63" s="1"/>
  <c r="F42" i="63"/>
  <c r="X48" i="63"/>
  <c r="Z48" i="63" s="1"/>
  <c r="L54" i="63"/>
  <c r="V57" i="63"/>
  <c r="X60" i="63"/>
  <c r="Z60" i="63" s="1"/>
  <c r="F69" i="63"/>
  <c r="F70" i="63"/>
  <c r="V73" i="63"/>
  <c r="V85" i="63"/>
  <c r="F91" i="63"/>
  <c r="F93" i="63"/>
  <c r="J95" i="63"/>
  <c r="J75" i="68"/>
  <c r="J69" i="68"/>
  <c r="J61" i="68"/>
  <c r="J49" i="68"/>
  <c r="J45" i="68"/>
  <c r="J41" i="68"/>
  <c r="J79" i="68"/>
  <c r="J55" i="68"/>
  <c r="J47" i="68"/>
  <c r="J43" i="68"/>
  <c r="J37" i="68"/>
  <c r="V38" i="68"/>
  <c r="V39" i="68"/>
  <c r="J50" i="68"/>
  <c r="V51" i="68"/>
  <c r="J56" i="68"/>
  <c r="V57" i="68"/>
  <c r="J62" i="68"/>
  <c r="V72" i="68"/>
  <c r="J74" i="68"/>
  <c r="V76" i="68"/>
  <c r="R45" i="69"/>
  <c r="R37" i="69"/>
  <c r="R33" i="69"/>
  <c r="R62" i="69"/>
  <c r="R59" i="69"/>
  <c r="R25" i="69"/>
  <c r="R40" i="69"/>
  <c r="R39" i="69"/>
  <c r="R35" i="69"/>
  <c r="R31" i="69"/>
  <c r="P17" i="69"/>
  <c r="R23" i="69"/>
  <c r="R53" i="69"/>
  <c r="R57" i="69"/>
  <c r="X13" i="70"/>
  <c r="Z13" i="70" s="1"/>
  <c r="P12" i="70"/>
  <c r="H71" i="72"/>
  <c r="V40" i="61"/>
  <c r="V52" i="61"/>
  <c r="V62" i="61"/>
  <c r="V64" i="61"/>
  <c r="V67" i="61"/>
  <c r="F23" i="63"/>
  <c r="F27" i="63"/>
  <c r="V30" i="63"/>
  <c r="V34" i="63"/>
  <c r="V38" i="63"/>
  <c r="J42" i="63"/>
  <c r="V46" i="63"/>
  <c r="F50" i="63"/>
  <c r="F51" i="63"/>
  <c r="J52" i="63"/>
  <c r="V58" i="63"/>
  <c r="F62" i="63"/>
  <c r="F63" i="63"/>
  <c r="J64" i="63"/>
  <c r="V66" i="63"/>
  <c r="J70" i="63"/>
  <c r="V78" i="63"/>
  <c r="V86" i="63"/>
  <c r="F92" i="63"/>
  <c r="J93" i="63"/>
  <c r="V52" i="68"/>
  <c r="V58" i="68"/>
  <c r="V63" i="68"/>
  <c r="N67" i="68"/>
  <c r="L70" i="68"/>
  <c r="J71" i="68"/>
  <c r="V49" i="69"/>
  <c r="V55" i="69"/>
  <c r="V53" i="69"/>
  <c r="V51" i="69"/>
  <c r="V43" i="69"/>
  <c r="V28" i="69"/>
  <c r="V24" i="69"/>
  <c r="V20" i="69"/>
  <c r="V62" i="69"/>
  <c r="V59" i="69"/>
  <c r="V57" i="69"/>
  <c r="V47" i="69"/>
  <c r="V48" i="69"/>
  <c r="V40" i="69"/>
  <c r="V50" i="69"/>
  <c r="V42" i="69"/>
  <c r="V26" i="69"/>
  <c r="V22" i="69"/>
  <c r="Z12" i="69"/>
  <c r="R17" i="69"/>
  <c r="V19" i="69"/>
  <c r="V23" i="69"/>
  <c r="R26" i="69"/>
  <c r="R30" i="69"/>
  <c r="V33" i="69"/>
  <c r="R48" i="69"/>
  <c r="Z80" i="70"/>
  <c r="R48" i="60"/>
  <c r="V21" i="61"/>
  <c r="V25" i="61"/>
  <c r="V49" i="61"/>
  <c r="L12" i="63"/>
  <c r="J23" i="63"/>
  <c r="J27" i="63"/>
  <c r="F32" i="63"/>
  <c r="F36" i="63"/>
  <c r="J51" i="63"/>
  <c r="V55" i="63"/>
  <c r="J63" i="63"/>
  <c r="F68" i="63"/>
  <c r="J69" i="63"/>
  <c r="V71" i="63"/>
  <c r="F75" i="63"/>
  <c r="F76" i="63"/>
  <c r="F80" i="63"/>
  <c r="V83" i="63"/>
  <c r="J91" i="63"/>
  <c r="J92" i="63"/>
  <c r="V97" i="63"/>
  <c r="V99" i="63"/>
  <c r="V102" i="63"/>
  <c r="J22" i="68"/>
  <c r="V23" i="68"/>
  <c r="J33" i="68"/>
  <c r="V34" i="68"/>
  <c r="V44" i="68"/>
  <c r="V47" i="68"/>
  <c r="X50" i="68"/>
  <c r="Z50" i="68" s="1"/>
  <c r="X52" i="68"/>
  <c r="X56" i="68"/>
  <c r="Z56" i="68" s="1"/>
  <c r="X58" i="68"/>
  <c r="Z58" i="68" s="1"/>
  <c r="X62" i="68"/>
  <c r="Z62" i="68" s="1"/>
  <c r="V64" i="68"/>
  <c r="J67" i="68"/>
  <c r="X12" i="69"/>
  <c r="X15" i="69"/>
  <c r="T17" i="69"/>
  <c r="V30" i="69"/>
  <c r="R38" i="69"/>
  <c r="R42" i="69"/>
  <c r="L44" i="69"/>
  <c r="V45" i="69"/>
  <c r="R51" i="69"/>
  <c r="X53" i="69"/>
  <c r="Z83" i="70"/>
  <c r="V20" i="63"/>
  <c r="V24" i="63"/>
  <c r="V28" i="63"/>
  <c r="F40" i="63"/>
  <c r="F41" i="63"/>
  <c r="V44" i="63"/>
  <c r="F48" i="63"/>
  <c r="F49" i="63"/>
  <c r="V56" i="63"/>
  <c r="F60" i="63"/>
  <c r="F61" i="63"/>
  <c r="J80" i="63"/>
  <c r="V84" i="63"/>
  <c r="F88" i="63"/>
  <c r="F89" i="63"/>
  <c r="V77" i="68"/>
  <c r="V65" i="68"/>
  <c r="V53" i="68"/>
  <c r="V37" i="68"/>
  <c r="V33" i="68"/>
  <c r="V85" i="68"/>
  <c r="V75" i="68"/>
  <c r="V59" i="68"/>
  <c r="V35" i="68"/>
  <c r="V31" i="68"/>
  <c r="J25" i="68"/>
  <c r="V29" i="68"/>
  <c r="J36" i="68"/>
  <c r="V41" i="68"/>
  <c r="J46" i="68"/>
  <c r="J66" i="68"/>
  <c r="J78" i="68"/>
  <c r="V81" i="68"/>
  <c r="R15" i="69"/>
  <c r="R41" i="69"/>
  <c r="F22" i="63"/>
  <c r="F26" i="63"/>
  <c r="V29" i="63"/>
  <c r="V33" i="63"/>
  <c r="V37" i="63"/>
  <c r="V45" i="63"/>
  <c r="J49" i="63"/>
  <c r="V53" i="63"/>
  <c r="J61" i="63"/>
  <c r="V65" i="63"/>
  <c r="F73" i="63"/>
  <c r="F74" i="63"/>
  <c r="J75" i="63"/>
  <c r="V77" i="63"/>
  <c r="V81" i="63"/>
  <c r="J89" i="63"/>
  <c r="X22" i="68"/>
  <c r="Z22" i="68" s="1"/>
  <c r="T27" i="68"/>
  <c r="V30" i="68"/>
  <c r="J40" i="68"/>
  <c r="J54" i="68"/>
  <c r="J60" i="68"/>
  <c r="J70" i="68"/>
  <c r="V71" i="68"/>
  <c r="V74" i="68"/>
  <c r="J85" i="68"/>
  <c r="R22" i="69"/>
  <c r="R29" i="69"/>
  <c r="X42" i="69"/>
  <c r="H59" i="69"/>
  <c r="R56" i="72"/>
  <c r="R45" i="72"/>
  <c r="R44" i="72"/>
  <c r="R69" i="72"/>
  <c r="R32" i="72"/>
  <c r="R31" i="72"/>
  <c r="R27" i="72"/>
  <c r="R23" i="72"/>
  <c r="P19" i="72"/>
  <c r="R74" i="72"/>
  <c r="R71" i="72"/>
  <c r="R59" i="72"/>
  <c r="R58" i="72"/>
  <c r="R51" i="72"/>
  <c r="R50" i="72"/>
  <c r="R62" i="72"/>
  <c r="R61" i="72"/>
  <c r="R29" i="72"/>
  <c r="R25" i="72"/>
  <c r="R55" i="72"/>
  <c r="R39" i="72"/>
  <c r="R36" i="72"/>
  <c r="X12" i="72"/>
  <c r="R33" i="72"/>
  <c r="R24" i="72"/>
  <c r="R67" i="72"/>
  <c r="R52" i="72"/>
  <c r="R48" i="72"/>
  <c r="R40" i="72"/>
  <c r="R17" i="72"/>
  <c r="R49" i="72"/>
  <c r="R30" i="72"/>
  <c r="R37" i="72"/>
  <c r="R34" i="72"/>
  <c r="R53" i="72"/>
  <c r="R22" i="72"/>
  <c r="R21" i="72"/>
  <c r="R19" i="72"/>
  <c r="R63" i="72"/>
  <c r="R41" i="72"/>
  <c r="R46" i="72"/>
  <c r="R38" i="72"/>
  <c r="R28" i="72"/>
  <c r="R60" i="72"/>
  <c r="R57" i="72"/>
  <c r="R35" i="72"/>
  <c r="R15" i="72"/>
  <c r="R43" i="72"/>
  <c r="R42" i="72"/>
  <c r="R65" i="72"/>
  <c r="R54" i="72"/>
  <c r="R47" i="72"/>
  <c r="R26" i="72"/>
  <c r="R16" i="72"/>
  <c r="V14" i="63"/>
  <c r="V16" i="63"/>
  <c r="V18" i="63"/>
  <c r="F31" i="63"/>
  <c r="F35" i="63"/>
  <c r="F39" i="63"/>
  <c r="V42" i="63"/>
  <c r="F47" i="63"/>
  <c r="V54" i="63"/>
  <c r="F58" i="63"/>
  <c r="F59" i="63"/>
  <c r="J60" i="63"/>
  <c r="F67" i="63"/>
  <c r="V70" i="63"/>
  <c r="J74" i="63"/>
  <c r="L75" i="63"/>
  <c r="F79" i="63"/>
  <c r="V82" i="63"/>
  <c r="F86" i="63"/>
  <c r="F87" i="63"/>
  <c r="J88" i="63"/>
  <c r="Z12" i="68"/>
  <c r="V27" i="68"/>
  <c r="X30" i="68"/>
  <c r="Z30" i="68" s="1"/>
  <c r="J32" i="68"/>
  <c r="V49" i="68"/>
  <c r="V50" i="68"/>
  <c r="V56" i="68"/>
  <c r="V62" i="68"/>
  <c r="J73" i="68"/>
  <c r="J77" i="68"/>
  <c r="V79" i="68"/>
  <c r="R32" i="69"/>
  <c r="D12" i="70"/>
  <c r="L32" i="70"/>
  <c r="N32" i="70" s="1"/>
  <c r="X18" i="63"/>
  <c r="Z18" i="63" s="1"/>
  <c r="V19" i="63"/>
  <c r="V23" i="63"/>
  <c r="V27" i="63"/>
  <c r="L40" i="63"/>
  <c r="N40" i="63" s="1"/>
  <c r="V43" i="63"/>
  <c r="V51" i="63"/>
  <c r="V63" i="63"/>
  <c r="F72" i="63"/>
  <c r="J73" i="63"/>
  <c r="J79" i="63"/>
  <c r="J87" i="63"/>
  <c r="V93" i="63"/>
  <c r="V95" i="63"/>
  <c r="F99" i="63"/>
  <c r="F102" i="63"/>
  <c r="J24" i="68"/>
  <c r="N39" i="68"/>
  <c r="V46" i="68"/>
  <c r="J48" i="68"/>
  <c r="J53" i="68"/>
  <c r="V55" i="68"/>
  <c r="J59" i="68"/>
  <c r="V61" i="68"/>
  <c r="Z67" i="68"/>
  <c r="R28" i="69"/>
  <c r="R44" i="69"/>
  <c r="R47" i="69"/>
  <c r="R50" i="69"/>
  <c r="R55" i="69"/>
  <c r="V14" i="61"/>
  <c r="V16" i="61"/>
  <c r="V18" i="61"/>
  <c r="V46" i="61"/>
  <c r="Z12" i="63"/>
  <c r="F21" i="63"/>
  <c r="F25" i="63"/>
  <c r="V32" i="63"/>
  <c r="V36" i="63"/>
  <c r="V52" i="63"/>
  <c r="F56" i="63"/>
  <c r="F57" i="63"/>
  <c r="J58" i="63"/>
  <c r="V64" i="63"/>
  <c r="V68" i="63"/>
  <c r="J72" i="63"/>
  <c r="V76" i="63"/>
  <c r="V80" i="63"/>
  <c r="F84" i="63"/>
  <c r="V22" i="68"/>
  <c r="V25" i="68"/>
  <c r="J35" i="68"/>
  <c r="V36" i="68"/>
  <c r="J39" i="68"/>
  <c r="V40" i="68"/>
  <c r="V43" i="68"/>
  <c r="J52" i="68"/>
  <c r="J58" i="68"/>
  <c r="J65" i="68"/>
  <c r="V66" i="68"/>
  <c r="V67" i="68"/>
  <c r="R21" i="69"/>
  <c r="V37" i="69"/>
  <c r="J20" i="69"/>
  <c r="J30" i="69"/>
  <c r="J34" i="69"/>
  <c r="J38" i="69"/>
  <c r="J46" i="69"/>
  <c r="J40" i="70"/>
  <c r="J56" i="70"/>
  <c r="J59" i="70"/>
  <c r="N70" i="70"/>
  <c r="L74" i="70"/>
  <c r="N74" i="70" s="1"/>
  <c r="J75" i="70"/>
  <c r="N76" i="70"/>
  <c r="L80" i="70"/>
  <c r="N80" i="70" s="1"/>
  <c r="J81" i="70"/>
  <c r="N15" i="72"/>
  <c r="F19" i="72"/>
  <c r="F22" i="72"/>
  <c r="F28" i="72"/>
  <c r="V29" i="72"/>
  <c r="J31" i="72"/>
  <c r="J38" i="72"/>
  <c r="V39" i="72"/>
  <c r="F50" i="72"/>
  <c r="L53" i="72"/>
  <c r="Z55" i="72"/>
  <c r="N99" i="74"/>
  <c r="V60" i="70"/>
  <c r="J62" i="70"/>
  <c r="V63" i="70"/>
  <c r="V72" i="70"/>
  <c r="V78" i="70"/>
  <c r="N85" i="70"/>
  <c r="J89" i="70"/>
  <c r="J94" i="70"/>
  <c r="J98" i="70"/>
  <c r="V101" i="70"/>
  <c r="N22" i="72"/>
  <c r="V54" i="72"/>
  <c r="V55" i="72"/>
  <c r="J111" i="74"/>
  <c r="J89" i="74"/>
  <c r="J137" i="74"/>
  <c r="J125" i="74"/>
  <c r="J113" i="74"/>
  <c r="J105" i="74"/>
  <c r="J95" i="74"/>
  <c r="J130" i="74"/>
  <c r="J96" i="74"/>
  <c r="J74" i="74"/>
  <c r="J70" i="74"/>
  <c r="J121" i="74"/>
  <c r="J107" i="74"/>
  <c r="J101" i="74"/>
  <c r="J97" i="74"/>
  <c r="J61" i="74"/>
  <c r="J57" i="74"/>
  <c r="J53" i="74"/>
  <c r="J131" i="74"/>
  <c r="J126" i="74"/>
  <c r="J108" i="74"/>
  <c r="J92" i="74"/>
  <c r="J87" i="74"/>
  <c r="J80" i="74"/>
  <c r="J118" i="74"/>
  <c r="J109" i="74"/>
  <c r="J102" i="74"/>
  <c r="J84" i="74"/>
  <c r="J75" i="74"/>
  <c r="J71" i="74"/>
  <c r="J103" i="74"/>
  <c r="J98" i="74"/>
  <c r="J62" i="74"/>
  <c r="J132" i="74"/>
  <c r="J127" i="74"/>
  <c r="J122" i="74"/>
  <c r="J110" i="74"/>
  <c r="J93" i="74"/>
  <c r="J81" i="74"/>
  <c r="J133" i="74"/>
  <c r="J119" i="74"/>
  <c r="J114" i="74"/>
  <c r="J104" i="74"/>
  <c r="J88" i="74"/>
  <c r="J85" i="74"/>
  <c r="J76" i="74"/>
  <c r="J72" i="74"/>
  <c r="J50" i="74"/>
  <c r="J99" i="74"/>
  <c r="J63" i="74"/>
  <c r="J59" i="74"/>
  <c r="J123" i="74"/>
  <c r="J94" i="74"/>
  <c r="J82" i="74"/>
  <c r="J115" i="74"/>
  <c r="J77" i="74"/>
  <c r="J73" i="74"/>
  <c r="J69" i="74"/>
  <c r="J67" i="74"/>
  <c r="J65" i="74"/>
  <c r="J128" i="74"/>
  <c r="J124" i="74"/>
  <c r="J120" i="74"/>
  <c r="J116" i="74"/>
  <c r="J106" i="74"/>
  <c r="J100" i="74"/>
  <c r="J90" i="74"/>
  <c r="J78" i="74"/>
  <c r="H65" i="74"/>
  <c r="J60" i="74"/>
  <c r="J117" i="74"/>
  <c r="J112" i="74"/>
  <c r="J91" i="74"/>
  <c r="J86" i="74"/>
  <c r="J83" i="74"/>
  <c r="J79" i="74"/>
  <c r="F51" i="74"/>
  <c r="J58" i="74"/>
  <c r="J32" i="70"/>
  <c r="J36" i="70"/>
  <c r="J43" i="70"/>
  <c r="V48" i="70"/>
  <c r="J50" i="70"/>
  <c r="J65" i="70"/>
  <c r="V66" i="70"/>
  <c r="J68" i="70"/>
  <c r="J85" i="70"/>
  <c r="J19" i="72"/>
  <c r="J22" i="72"/>
  <c r="V23" i="72"/>
  <c r="V32" i="72"/>
  <c r="F34" i="72"/>
  <c r="V42" i="72"/>
  <c r="F49" i="72"/>
  <c r="V51" i="72"/>
  <c r="V69" i="72"/>
  <c r="J51" i="74"/>
  <c r="F53" i="74"/>
  <c r="N67" i="74"/>
  <c r="Z99" i="74"/>
  <c r="V93" i="70"/>
  <c r="V77" i="70"/>
  <c r="V41" i="70"/>
  <c r="V37" i="70"/>
  <c r="V33" i="70"/>
  <c r="V91" i="70"/>
  <c r="V83" i="70"/>
  <c r="V71" i="70"/>
  <c r="V47" i="70"/>
  <c r="V43" i="70"/>
  <c r="V39" i="70"/>
  <c r="V35" i="70"/>
  <c r="T45" i="70"/>
  <c r="V45" i="70" s="1"/>
  <c r="V56" i="70"/>
  <c r="J58" i="70"/>
  <c r="V69" i="70"/>
  <c r="J74" i="70"/>
  <c r="V75" i="70"/>
  <c r="J80" i="70"/>
  <c r="V81" i="70"/>
  <c r="J84" i="70"/>
  <c r="L85" i="70"/>
  <c r="J93" i="70"/>
  <c r="V95" i="70"/>
  <c r="V107" i="70"/>
  <c r="L22" i="72"/>
  <c r="V31" i="72"/>
  <c r="X32" i="72"/>
  <c r="Z32" i="72" s="1"/>
  <c r="V35" i="72"/>
  <c r="V43" i="72"/>
  <c r="V57" i="72"/>
  <c r="V60" i="72"/>
  <c r="P12" i="74"/>
  <c r="J39" i="70"/>
  <c r="V40" i="70"/>
  <c r="V53" i="70"/>
  <c r="V70" i="70"/>
  <c r="V76" i="70"/>
  <c r="J88" i="70"/>
  <c r="V89" i="70"/>
  <c r="J97" i="70"/>
  <c r="V100" i="70"/>
  <c r="V28" i="72"/>
  <c r="V38" i="72"/>
  <c r="V46" i="72"/>
  <c r="F48" i="72"/>
  <c r="F56" i="72"/>
  <c r="F55" i="74"/>
  <c r="R67" i="75"/>
  <c r="R59" i="75"/>
  <c r="R35" i="75"/>
  <c r="R31" i="75"/>
  <c r="R70" i="75"/>
  <c r="R69" i="75"/>
  <c r="R54" i="75"/>
  <c r="R53" i="75"/>
  <c r="R37" i="75"/>
  <c r="R33" i="75"/>
  <c r="R76" i="75"/>
  <c r="R51" i="75"/>
  <c r="R40" i="75"/>
  <c r="R61" i="75"/>
  <c r="R52" i="75"/>
  <c r="R47" i="75"/>
  <c r="R24" i="75"/>
  <c r="R57" i="75"/>
  <c r="R44" i="75"/>
  <c r="R34" i="75"/>
  <c r="R58" i="75"/>
  <c r="X12" i="75"/>
  <c r="R48" i="75"/>
  <c r="R41" i="75"/>
  <c r="P26" i="75"/>
  <c r="R26" i="75" s="1"/>
  <c r="R71" i="75"/>
  <c r="R63" i="75"/>
  <c r="R62" i="75"/>
  <c r="R32" i="75"/>
  <c r="R29" i="75"/>
  <c r="R28" i="75"/>
  <c r="R72" i="75"/>
  <c r="R45" i="75"/>
  <c r="R68" i="75"/>
  <c r="R64" i="75"/>
  <c r="R42" i="75"/>
  <c r="R80" i="75"/>
  <c r="R65" i="75"/>
  <c r="R49" i="75"/>
  <c r="R38" i="75"/>
  <c r="R30" i="75"/>
  <c r="R73" i="75"/>
  <c r="R50" i="75"/>
  <c r="R46" i="75"/>
  <c r="R39" i="75"/>
  <c r="R55" i="75"/>
  <c r="R75" i="75"/>
  <c r="R66" i="75"/>
  <c r="R60" i="75"/>
  <c r="R56" i="75"/>
  <c r="R43" i="75"/>
  <c r="R36" i="75"/>
  <c r="N39" i="75"/>
  <c r="J42" i="70"/>
  <c r="V50" i="70"/>
  <c r="J52" i="70"/>
  <c r="V59" i="70"/>
  <c r="V62" i="70"/>
  <c r="J64" i="70"/>
  <c r="X70" i="70"/>
  <c r="Z70" i="70" s="1"/>
  <c r="X74" i="70"/>
  <c r="Z74" i="70" s="1"/>
  <c r="X76" i="70"/>
  <c r="X80" i="70"/>
  <c r="V90" i="70"/>
  <c r="V98" i="70"/>
  <c r="J103" i="70"/>
  <c r="F74" i="72"/>
  <c r="F71" i="72"/>
  <c r="F60" i="72"/>
  <c r="F59" i="72"/>
  <c r="F52" i="72"/>
  <c r="F51" i="72"/>
  <c r="F63" i="72"/>
  <c r="F62" i="72"/>
  <c r="F39" i="72"/>
  <c r="F35" i="72"/>
  <c r="F46" i="72"/>
  <c r="F45" i="72"/>
  <c r="F41" i="72"/>
  <c r="F37" i="72"/>
  <c r="F33" i="72"/>
  <c r="F32" i="72"/>
  <c r="D19" i="72"/>
  <c r="X13" i="72"/>
  <c r="Z13" i="72" s="1"/>
  <c r="X15" i="72"/>
  <c r="V25" i="72"/>
  <c r="V41" i="72"/>
  <c r="L49" i="72"/>
  <c r="L62" i="72"/>
  <c r="N62" i="72" s="1"/>
  <c r="F50" i="74"/>
  <c r="J55" i="74"/>
  <c r="Z67" i="74"/>
  <c r="R94" i="76"/>
  <c r="R86" i="76"/>
  <c r="R66" i="76"/>
  <c r="R62" i="76"/>
  <c r="R58" i="76"/>
  <c r="R31" i="76"/>
  <c r="R77" i="76"/>
  <c r="R87" i="76"/>
  <c r="R98" i="76"/>
  <c r="R70" i="76"/>
  <c r="R69" i="76"/>
  <c r="R46" i="76"/>
  <c r="R41" i="76"/>
  <c r="R37" i="76"/>
  <c r="R33" i="76"/>
  <c r="R89" i="76"/>
  <c r="R88" i="76"/>
  <c r="R81" i="76"/>
  <c r="R80" i="76"/>
  <c r="R64" i="76"/>
  <c r="R60" i="76"/>
  <c r="R45" i="76"/>
  <c r="R72" i="76"/>
  <c r="R71" i="76"/>
  <c r="R55" i="76"/>
  <c r="R51" i="76"/>
  <c r="R93" i="76"/>
  <c r="R92" i="76"/>
  <c r="R76" i="76"/>
  <c r="R75" i="76"/>
  <c r="R39" i="76"/>
  <c r="R35" i="76"/>
  <c r="R48" i="76"/>
  <c r="P43" i="76"/>
  <c r="R67" i="76"/>
  <c r="R34" i="76"/>
  <c r="R90" i="76"/>
  <c r="R65" i="76"/>
  <c r="R32" i="76"/>
  <c r="R78" i="76"/>
  <c r="R73" i="76"/>
  <c r="R68" i="76"/>
  <c r="R63" i="76"/>
  <c r="R56" i="76"/>
  <c r="R54" i="76"/>
  <c r="R49" i="76"/>
  <c r="R40" i="76"/>
  <c r="X12" i="76"/>
  <c r="Z12" i="76" s="1"/>
  <c r="R84" i="76"/>
  <c r="R61" i="76"/>
  <c r="R79" i="76"/>
  <c r="R59" i="76"/>
  <c r="R52" i="76"/>
  <c r="R82" i="76"/>
  <c r="R57" i="76"/>
  <c r="R47" i="76"/>
  <c r="R38" i="76"/>
  <c r="R74" i="76"/>
  <c r="R85" i="76"/>
  <c r="R50" i="76"/>
  <c r="R53" i="76"/>
  <c r="R36" i="76"/>
  <c r="R83" i="76"/>
  <c r="J32" i="69"/>
  <c r="J36" i="69"/>
  <c r="J42" i="69"/>
  <c r="J35" i="70"/>
  <c r="V36" i="70"/>
  <c r="V58" i="70"/>
  <c r="J61" i="70"/>
  <c r="V65" i="70"/>
  <c r="V68" i="70"/>
  <c r="Z85" i="70"/>
  <c r="X88" i="70"/>
  <c r="Z88" i="70" s="1"/>
  <c r="X90" i="70"/>
  <c r="Z90" i="70" s="1"/>
  <c r="J92" i="70"/>
  <c r="J102" i="70"/>
  <c r="J53" i="72"/>
  <c r="J46" i="72"/>
  <c r="J30" i="72"/>
  <c r="J26" i="72"/>
  <c r="N12" i="72"/>
  <c r="J67" i="72"/>
  <c r="J65" i="72"/>
  <c r="J57" i="72"/>
  <c r="J47" i="72"/>
  <c r="J60" i="72"/>
  <c r="J52" i="72"/>
  <c r="J28" i="72"/>
  <c r="J24" i="72"/>
  <c r="T19" i="72"/>
  <c r="Z22" i="72"/>
  <c r="F24" i="72"/>
  <c r="J33" i="72"/>
  <c r="F55" i="72"/>
  <c r="F58" i="72"/>
  <c r="F61" i="72"/>
  <c r="J71" i="72"/>
  <c r="J38" i="70"/>
  <c r="V55" i="70"/>
  <c r="J67" i="70"/>
  <c r="J72" i="70"/>
  <c r="J78" i="70"/>
  <c r="J82" i="70"/>
  <c r="V84" i="70"/>
  <c r="V85" i="70"/>
  <c r="V94" i="70"/>
  <c r="J96" i="70"/>
  <c r="V34" i="72"/>
  <c r="V37" i="72"/>
  <c r="F43" i="72"/>
  <c r="F44" i="72"/>
  <c r="L47" i="72"/>
  <c r="N55" i="72"/>
  <c r="L65" i="72"/>
  <c r="F128" i="74"/>
  <c r="F100" i="74"/>
  <c r="F99" i="74"/>
  <c r="F88" i="74"/>
  <c r="F84" i="74"/>
  <c r="F94" i="74"/>
  <c r="F93" i="74"/>
  <c r="F86" i="74"/>
  <c r="F137" i="74"/>
  <c r="F125" i="74"/>
  <c r="F124" i="74"/>
  <c r="F117" i="74"/>
  <c r="F116" i="74"/>
  <c r="F112" i="74"/>
  <c r="F106" i="74"/>
  <c r="F83" i="74"/>
  <c r="F79" i="74"/>
  <c r="F78" i="74"/>
  <c r="D65" i="74"/>
  <c r="F96" i="74"/>
  <c r="F91" i="74"/>
  <c r="F74" i="74"/>
  <c r="F70" i="74"/>
  <c r="F130" i="74"/>
  <c r="F121" i="74"/>
  <c r="F107" i="74"/>
  <c r="F101" i="74"/>
  <c r="F61" i="74"/>
  <c r="F57" i="74"/>
  <c r="F131" i="74"/>
  <c r="F97" i="74"/>
  <c r="F92" i="74"/>
  <c r="F87" i="74"/>
  <c r="F80" i="74"/>
  <c r="L12" i="74"/>
  <c r="N12" i="74" s="1"/>
  <c r="F126" i="74"/>
  <c r="F118" i="74"/>
  <c r="F113" i="74"/>
  <c r="F109" i="74"/>
  <c r="F108" i="74"/>
  <c r="F75" i="74"/>
  <c r="F71" i="74"/>
  <c r="F103" i="74"/>
  <c r="F102" i="74"/>
  <c r="F98" i="74"/>
  <c r="F62" i="74"/>
  <c r="F58" i="74"/>
  <c r="F54" i="74"/>
  <c r="F132" i="74"/>
  <c r="F127" i="74"/>
  <c r="F122" i="74"/>
  <c r="F81" i="74"/>
  <c r="F133" i="74"/>
  <c r="F119" i="74"/>
  <c r="F111" i="74"/>
  <c r="F110" i="74"/>
  <c r="F85" i="74"/>
  <c r="F76" i="74"/>
  <c r="F72" i="74"/>
  <c r="F114" i="74"/>
  <c r="F105" i="74"/>
  <c r="F104" i="74"/>
  <c r="F123" i="74"/>
  <c r="F89" i="74"/>
  <c r="F82" i="74"/>
  <c r="F115" i="74"/>
  <c r="F77" i="74"/>
  <c r="F73" i="74"/>
  <c r="F69" i="74"/>
  <c r="F68" i="74"/>
  <c r="F120" i="74"/>
  <c r="F95" i="74"/>
  <c r="F90" i="74"/>
  <c r="F67" i="74"/>
  <c r="F60" i="74"/>
  <c r="F56" i="74"/>
  <c r="F52" i="74"/>
  <c r="J52" i="74"/>
  <c r="F59" i="74"/>
  <c r="V32" i="70"/>
  <c r="J48" i="70"/>
  <c r="V52" i="70"/>
  <c r="J54" i="70"/>
  <c r="V74" i="70"/>
  <c r="V80" i="70"/>
  <c r="D100" i="70"/>
  <c r="L100" i="70" s="1"/>
  <c r="N100" i="70" s="1"/>
  <c r="V27" i="72"/>
  <c r="F29" i="72"/>
  <c r="V30" i="72"/>
  <c r="F47" i="72"/>
  <c r="Z49" i="72"/>
  <c r="J55" i="72"/>
  <c r="F65" i="72"/>
  <c r="L13" i="74"/>
  <c r="N13" i="74" s="1"/>
  <c r="J34" i="70"/>
  <c r="J41" i="70"/>
  <c r="V42" i="70"/>
  <c r="J60" i="70"/>
  <c r="V61" i="70"/>
  <c r="V64" i="70"/>
  <c r="J71" i="70"/>
  <c r="V73" i="70"/>
  <c r="J77" i="70"/>
  <c r="V79" i="70"/>
  <c r="V88" i="70"/>
  <c r="V97" i="70"/>
  <c r="J101" i="70"/>
  <c r="V65" i="72"/>
  <c r="V63" i="72"/>
  <c r="V47" i="72"/>
  <c r="V58" i="72"/>
  <c r="V50" i="72"/>
  <c r="V53" i="72"/>
  <c r="V56" i="72"/>
  <c r="V44" i="72"/>
  <c r="V16" i="72"/>
  <c r="V17" i="72"/>
  <c r="V40" i="72"/>
  <c r="F42" i="72"/>
  <c r="V45" i="72"/>
  <c r="V48" i="72"/>
  <c r="V49" i="72"/>
  <c r="V52" i="72"/>
  <c r="F54" i="72"/>
  <c r="V62" i="72"/>
  <c r="J68" i="74"/>
  <c r="N130" i="74"/>
  <c r="D78" i="75"/>
  <c r="F78" i="75" s="1"/>
  <c r="H45" i="70"/>
  <c r="V49" i="70"/>
  <c r="J63" i="70"/>
  <c r="J66" i="70"/>
  <c r="V67" i="70"/>
  <c r="J70" i="70"/>
  <c r="J76" i="70"/>
  <c r="V87" i="70"/>
  <c r="V92" i="70"/>
  <c r="V96" i="70"/>
  <c r="V103" i="70"/>
  <c r="V33" i="72"/>
  <c r="V61" i="72"/>
  <c r="J54" i="74"/>
  <c r="J83" i="70"/>
  <c r="J73" i="70"/>
  <c r="J57" i="70"/>
  <c r="J53" i="70"/>
  <c r="J49" i="70"/>
  <c r="J47" i="70"/>
  <c r="J45" i="70"/>
  <c r="J107" i="70"/>
  <c r="J95" i="70"/>
  <c r="J87" i="70"/>
  <c r="J79" i="70"/>
  <c r="J55" i="70"/>
  <c r="J51" i="70"/>
  <c r="J37" i="70"/>
  <c r="V38" i="70"/>
  <c r="V54" i="70"/>
  <c r="V57" i="70"/>
  <c r="J69" i="70"/>
  <c r="V82" i="70"/>
  <c r="J86" i="70"/>
  <c r="J90" i="70"/>
  <c r="J100" i="70"/>
  <c r="V102" i="70"/>
  <c r="Z12" i="72"/>
  <c r="F21" i="72"/>
  <c r="F31" i="72"/>
  <c r="V36" i="72"/>
  <c r="F38" i="72"/>
  <c r="X47" i="72"/>
  <c r="F57" i="72"/>
  <c r="X65" i="72"/>
  <c r="F69" i="72"/>
  <c r="N75" i="75"/>
  <c r="V71" i="74"/>
  <c r="V75" i="74"/>
  <c r="V84" i="74"/>
  <c r="V92" i="74"/>
  <c r="V110" i="74"/>
  <c r="V118" i="74"/>
  <c r="F29" i="75"/>
  <c r="F30" i="75"/>
  <c r="F38" i="75"/>
  <c r="V40" i="75"/>
  <c r="F42" i="75"/>
  <c r="J49" i="75"/>
  <c r="V51" i="75"/>
  <c r="V52" i="75"/>
  <c r="V61" i="75"/>
  <c r="F63" i="75"/>
  <c r="F64" i="75"/>
  <c r="V69" i="75"/>
  <c r="F72" i="75"/>
  <c r="V76" i="75"/>
  <c r="F80" i="75"/>
  <c r="V43" i="76"/>
  <c r="J50" i="76"/>
  <c r="J85" i="76"/>
  <c r="N92" i="76"/>
  <c r="J94" i="76"/>
  <c r="V80" i="74"/>
  <c r="V87" i="74"/>
  <c r="V101" i="74"/>
  <c r="X130" i="74"/>
  <c r="Z130" i="74" s="1"/>
  <c r="V131" i="74"/>
  <c r="F28" i="75"/>
  <c r="F35" i="75"/>
  <c r="V36" i="75"/>
  <c r="X39" i="75"/>
  <c r="Z39" i="75" s="1"/>
  <c r="J42" i="75"/>
  <c r="V43" i="75"/>
  <c r="J54" i="75"/>
  <c r="F59" i="75"/>
  <c r="V60" i="75"/>
  <c r="J64" i="75"/>
  <c r="V66" i="75"/>
  <c r="F68" i="75"/>
  <c r="J33" i="76"/>
  <c r="J41" i="76"/>
  <c r="J47" i="76"/>
  <c r="L57" i="76"/>
  <c r="N57" i="76" s="1"/>
  <c r="J64" i="76"/>
  <c r="Z97" i="74"/>
  <c r="V102" i="74"/>
  <c r="V107" i="74"/>
  <c r="L114" i="74"/>
  <c r="V126" i="74"/>
  <c r="J29" i="75"/>
  <c r="V33" i="75"/>
  <c r="J35" i="75"/>
  <c r="J45" i="75"/>
  <c r="V55" i="75"/>
  <c r="J59" i="75"/>
  <c r="J63" i="75"/>
  <c r="V75" i="75"/>
  <c r="D12" i="76"/>
  <c r="X13" i="76"/>
  <c r="Z13" i="76" s="1"/>
  <c r="J52" i="76"/>
  <c r="J57" i="76"/>
  <c r="J66" i="76"/>
  <c r="X74" i="76"/>
  <c r="Z74" i="76" s="1"/>
  <c r="N76" i="76"/>
  <c r="L79" i="76"/>
  <c r="N79" i="76" s="1"/>
  <c r="Z92" i="76"/>
  <c r="V108" i="74"/>
  <c r="V112" i="74"/>
  <c r="V125" i="74"/>
  <c r="V137" i="74"/>
  <c r="F71" i="75"/>
  <c r="F70" i="75"/>
  <c r="F55" i="75"/>
  <c r="F54" i="75"/>
  <c r="F47" i="75"/>
  <c r="F43" i="75"/>
  <c r="F49" i="75"/>
  <c r="F45" i="75"/>
  <c r="F41" i="75"/>
  <c r="F26" i="75"/>
  <c r="F32" i="75"/>
  <c r="V46" i="75"/>
  <c r="F48" i="75"/>
  <c r="F53" i="75"/>
  <c r="F58" i="75"/>
  <c r="F62" i="75"/>
  <c r="V73" i="75"/>
  <c r="J83" i="76"/>
  <c r="J73" i="76"/>
  <c r="J65" i="76"/>
  <c r="J61" i="76"/>
  <c r="J93" i="76"/>
  <c r="J92" i="76"/>
  <c r="J84" i="76"/>
  <c r="J74" i="76"/>
  <c r="J56" i="76"/>
  <c r="J86" i="76"/>
  <c r="J40" i="76"/>
  <c r="J36" i="76"/>
  <c r="J32" i="76"/>
  <c r="J87" i="76"/>
  <c r="J67" i="76"/>
  <c r="J63" i="76"/>
  <c r="J59" i="76"/>
  <c r="J78" i="76"/>
  <c r="J68" i="76"/>
  <c r="J54" i="76"/>
  <c r="J88" i="76"/>
  <c r="J90" i="76"/>
  <c r="J82" i="76"/>
  <c r="J72" i="76"/>
  <c r="H43" i="76"/>
  <c r="J38" i="76"/>
  <c r="J34" i="76"/>
  <c r="J76" i="76"/>
  <c r="J79" i="76"/>
  <c r="H68" i="80"/>
  <c r="N17" i="80"/>
  <c r="D75" i="80"/>
  <c r="L89" i="74"/>
  <c r="N89" i="74" s="1"/>
  <c r="V130" i="74"/>
  <c r="J72" i="75"/>
  <c r="J66" i="75"/>
  <c r="J56" i="75"/>
  <c r="J38" i="75"/>
  <c r="J34" i="75"/>
  <c r="J30" i="75"/>
  <c r="J28" i="75"/>
  <c r="J24" i="75"/>
  <c r="J80" i="75"/>
  <c r="J68" i="75"/>
  <c r="J60" i="75"/>
  <c r="J50" i="75"/>
  <c r="J36" i="75"/>
  <c r="J32" i="75"/>
  <c r="N12" i="75"/>
  <c r="H26" i="75"/>
  <c r="J26" i="75" s="1"/>
  <c r="V30" i="75"/>
  <c r="F37" i="75"/>
  <c r="V38" i="75"/>
  <c r="V39" i="75"/>
  <c r="J41" i="75"/>
  <c r="J48" i="75"/>
  <c r="V49" i="75"/>
  <c r="X50" i="75"/>
  <c r="Z50" i="75" s="1"/>
  <c r="J53" i="75"/>
  <c r="N58" i="75"/>
  <c r="J62" i="75"/>
  <c r="V80" i="75"/>
  <c r="J35" i="76"/>
  <c r="J46" i="76"/>
  <c r="J49" i="76"/>
  <c r="F78" i="79"/>
  <c r="F48" i="79"/>
  <c r="F47" i="79"/>
  <c r="F32" i="79"/>
  <c r="F28" i="79"/>
  <c r="F70" i="79"/>
  <c r="F69" i="79"/>
  <c r="F54" i="79"/>
  <c r="F53" i="79"/>
  <c r="F30" i="79"/>
  <c r="F26" i="79"/>
  <c r="F38" i="79"/>
  <c r="F61" i="79"/>
  <c r="F56" i="79"/>
  <c r="F51" i="79"/>
  <c r="F46" i="79"/>
  <c r="F35" i="79"/>
  <c r="F34" i="79"/>
  <c r="F21" i="79"/>
  <c r="F67" i="79"/>
  <c r="F66" i="79"/>
  <c r="F42" i="79"/>
  <c r="F27" i="79"/>
  <c r="D21" i="79"/>
  <c r="F71" i="79"/>
  <c r="F52" i="79"/>
  <c r="F39" i="79"/>
  <c r="F23" i="79"/>
  <c r="F17" i="79"/>
  <c r="F63" i="79"/>
  <c r="F62" i="79"/>
  <c r="F57" i="79"/>
  <c r="F31" i="79"/>
  <c r="F24" i="79"/>
  <c r="F72" i="79"/>
  <c r="F43" i="79"/>
  <c r="F36" i="79"/>
  <c r="F18" i="79"/>
  <c r="L12" i="79"/>
  <c r="N12" i="79" s="1"/>
  <c r="F25" i="79"/>
  <c r="F68" i="79"/>
  <c r="F59" i="79"/>
  <c r="F58" i="79"/>
  <c r="F40" i="79"/>
  <c r="F74" i="79"/>
  <c r="F64" i="79"/>
  <c r="F37" i="79"/>
  <c r="F49" i="79"/>
  <c r="F44" i="79"/>
  <c r="F29" i="79"/>
  <c r="F19" i="79"/>
  <c r="F41" i="79"/>
  <c r="F65" i="79"/>
  <c r="F60" i="79"/>
  <c r="F55" i="79"/>
  <c r="F50" i="79"/>
  <c r="F45" i="79"/>
  <c r="F33" i="79"/>
  <c r="Z62" i="79"/>
  <c r="V52" i="74"/>
  <c r="V56" i="74"/>
  <c r="V60" i="74"/>
  <c r="V90" i="74"/>
  <c r="V91" i="74"/>
  <c r="V100" i="74"/>
  <c r="V120" i="74"/>
  <c r="V128" i="74"/>
  <c r="L12" i="75"/>
  <c r="F24" i="75"/>
  <c r="V35" i="75"/>
  <c r="J37" i="75"/>
  <c r="V42" i="75"/>
  <c r="F44" i="75"/>
  <c r="F52" i="75"/>
  <c r="F57" i="75"/>
  <c r="J58" i="75"/>
  <c r="V59" i="75"/>
  <c r="F61" i="75"/>
  <c r="V65" i="75"/>
  <c r="F67" i="75"/>
  <c r="V68" i="75"/>
  <c r="J45" i="76"/>
  <c r="L46" i="76"/>
  <c r="N46" i="76" s="1"/>
  <c r="Z57" i="76"/>
  <c r="X57" i="76"/>
  <c r="N68" i="76"/>
  <c r="J81" i="76"/>
  <c r="N49" i="79"/>
  <c r="V69" i="74"/>
  <c r="V73" i="74"/>
  <c r="V77" i="74"/>
  <c r="V106" i="74"/>
  <c r="V115" i="74"/>
  <c r="L126" i="74"/>
  <c r="N126" i="74" s="1"/>
  <c r="F34" i="75"/>
  <c r="J44" i="75"/>
  <c r="V45" i="75"/>
  <c r="N52" i="75"/>
  <c r="J57" i="75"/>
  <c r="J67" i="75"/>
  <c r="J70" i="75"/>
  <c r="F75" i="75"/>
  <c r="V77" i="76"/>
  <c r="V53" i="76"/>
  <c r="V49" i="76"/>
  <c r="V68" i="76"/>
  <c r="V88" i="76"/>
  <c r="V80" i="76"/>
  <c r="V72" i="76"/>
  <c r="V64" i="76"/>
  <c r="V60" i="76"/>
  <c r="T43" i="76"/>
  <c r="V83" i="76"/>
  <c r="V71" i="76"/>
  <c r="V55" i="76"/>
  <c r="V51" i="76"/>
  <c r="V47" i="76"/>
  <c r="V92" i="76"/>
  <c r="V90" i="76"/>
  <c r="V82" i="76"/>
  <c r="V74" i="76"/>
  <c r="V84" i="76"/>
  <c r="V86" i="76"/>
  <c r="V66" i="76"/>
  <c r="V62" i="76"/>
  <c r="V58" i="76"/>
  <c r="V52" i="76"/>
  <c r="V57" i="76"/>
  <c r="V59" i="76"/>
  <c r="X68" i="76"/>
  <c r="N70" i="76"/>
  <c r="Z76" i="76"/>
  <c r="Z79" i="76"/>
  <c r="X79" i="76"/>
  <c r="V82" i="74"/>
  <c r="V94" i="74"/>
  <c r="V105" i="74"/>
  <c r="V116" i="74"/>
  <c r="V124" i="74"/>
  <c r="T135" i="74"/>
  <c r="V50" i="75"/>
  <c r="V72" i="75"/>
  <c r="V64" i="75"/>
  <c r="V56" i="75"/>
  <c r="V28" i="75"/>
  <c r="V26" i="75"/>
  <c r="V24" i="75"/>
  <c r="F31" i="75"/>
  <c r="V32" i="75"/>
  <c r="F40" i="75"/>
  <c r="J47" i="75"/>
  <c r="F51" i="75"/>
  <c r="J52" i="75"/>
  <c r="V53" i="75"/>
  <c r="F56" i="75"/>
  <c r="J61" i="75"/>
  <c r="V62" i="75"/>
  <c r="V71" i="75"/>
  <c r="F76" i="75"/>
  <c r="J37" i="76"/>
  <c r="J51" i="76"/>
  <c r="J70" i="76"/>
  <c r="J75" i="76"/>
  <c r="V51" i="74"/>
  <c r="V55" i="74"/>
  <c r="V59" i="74"/>
  <c r="V63" i="74"/>
  <c r="V65" i="74"/>
  <c r="V67" i="74"/>
  <c r="V85" i="74"/>
  <c r="V111" i="74"/>
  <c r="D130" i="74"/>
  <c r="L130" i="74" s="1"/>
  <c r="X28" i="75"/>
  <c r="Z28" i="75" s="1"/>
  <c r="V29" i="75"/>
  <c r="J31" i="75"/>
  <c r="V37" i="75"/>
  <c r="L39" i="75"/>
  <c r="J40" i="75"/>
  <c r="V41" i="75"/>
  <c r="V48" i="75"/>
  <c r="J51" i="75"/>
  <c r="V63" i="75"/>
  <c r="F69" i="75"/>
  <c r="J75" i="75"/>
  <c r="J76" i="75"/>
  <c r="J43" i="76"/>
  <c r="Z68" i="76"/>
  <c r="J98" i="76"/>
  <c r="X67" i="74"/>
  <c r="V88" i="74"/>
  <c r="N97" i="74"/>
  <c r="V99" i="74"/>
  <c r="V127" i="74"/>
  <c r="Z12" i="75"/>
  <c r="T26" i="75"/>
  <c r="F36" i="75"/>
  <c r="F39" i="75"/>
  <c r="J43" i="75"/>
  <c r="F50" i="75"/>
  <c r="Z58" i="75"/>
  <c r="F60" i="75"/>
  <c r="X63" i="75"/>
  <c r="Z63" i="75" s="1"/>
  <c r="F65" i="75"/>
  <c r="F66" i="75"/>
  <c r="V67" i="75"/>
  <c r="J69" i="75"/>
  <c r="L75" i="75"/>
  <c r="J31" i="76"/>
  <c r="J48" i="76"/>
  <c r="J58" i="76"/>
  <c r="V81" i="74"/>
  <c r="V98" i="74"/>
  <c r="V114" i="74"/>
  <c r="V122" i="74"/>
  <c r="F33" i="75"/>
  <c r="V34" i="75"/>
  <c r="V44" i="75"/>
  <c r="F46" i="75"/>
  <c r="J55" i="75"/>
  <c r="V57" i="75"/>
  <c r="V58" i="75"/>
  <c r="F73" i="75"/>
  <c r="J39" i="76"/>
  <c r="J53" i="76"/>
  <c r="J60" i="76"/>
  <c r="Z70" i="76"/>
  <c r="J77" i="76"/>
  <c r="J80" i="76"/>
  <c r="V123" i="74"/>
  <c r="V119" i="74"/>
  <c r="V103" i="74"/>
  <c r="V95" i="74"/>
  <c r="V121" i="74"/>
  <c r="V117" i="74"/>
  <c r="V109" i="74"/>
  <c r="V89" i="74"/>
  <c r="V50" i="74"/>
  <c r="V54" i="74"/>
  <c r="V58" i="74"/>
  <c r="V62" i="74"/>
  <c r="V93" i="74"/>
  <c r="V104" i="74"/>
  <c r="V113" i="74"/>
  <c r="X126" i="74"/>
  <c r="Z126" i="74" s="1"/>
  <c r="V132" i="74"/>
  <c r="V31" i="75"/>
  <c r="J33" i="75"/>
  <c r="J39" i="75"/>
  <c r="J46" i="75"/>
  <c r="V47" i="75"/>
  <c r="Z52" i="75"/>
  <c r="J65" i="75"/>
  <c r="V70" i="75"/>
  <c r="J73" i="75"/>
  <c r="J55" i="76"/>
  <c r="J62" i="76"/>
  <c r="J69" i="76"/>
  <c r="V70" i="76"/>
  <c r="L74" i="76"/>
  <c r="N74" i="76" s="1"/>
  <c r="J89" i="76"/>
  <c r="N69" i="79"/>
  <c r="N71" i="79"/>
  <c r="V31" i="79"/>
  <c r="J34" i="79"/>
  <c r="J38" i="79"/>
  <c r="J51" i="79"/>
  <c r="V52" i="79"/>
  <c r="V58" i="79"/>
  <c r="R19" i="80"/>
  <c r="R20" i="80"/>
  <c r="J29" i="80"/>
  <c r="R30" i="80"/>
  <c r="J36" i="80"/>
  <c r="R37" i="80"/>
  <c r="X46" i="80"/>
  <c r="F51" i="80"/>
  <c r="R52" i="80"/>
  <c r="F58" i="80"/>
  <c r="F66" i="80"/>
  <c r="L68" i="80"/>
  <c r="R75" i="80"/>
  <c r="P12" i="82"/>
  <c r="H49" i="82"/>
  <c r="F27" i="82"/>
  <c r="F33" i="82"/>
  <c r="F39" i="82"/>
  <c r="F44" i="82"/>
  <c r="N29" i="83"/>
  <c r="J33" i="83"/>
  <c r="L40" i="83"/>
  <c r="N40" i="83" s="1"/>
  <c r="N37" i="84"/>
  <c r="V47" i="79"/>
  <c r="V67" i="79"/>
  <c r="R23" i="80"/>
  <c r="V30" i="80"/>
  <c r="V37" i="80"/>
  <c r="V56" i="80"/>
  <c r="R62" i="80"/>
  <c r="R68" i="80"/>
  <c r="V34" i="82"/>
  <c r="V30" i="82"/>
  <c r="V26" i="82"/>
  <c r="V47" i="82"/>
  <c r="V45" i="82"/>
  <c r="V41" i="82"/>
  <c r="V37" i="82"/>
  <c r="V32" i="82"/>
  <c r="V28" i="82"/>
  <c r="V33" i="82"/>
  <c r="V43" i="82"/>
  <c r="V39" i="82"/>
  <c r="V35" i="82"/>
  <c r="V25" i="82"/>
  <c r="V31" i="82"/>
  <c r="V42" i="82"/>
  <c r="N98" i="84"/>
  <c r="P12" i="79"/>
  <c r="L15" i="79"/>
  <c r="Z17" i="79"/>
  <c r="V24" i="79"/>
  <c r="V27" i="79"/>
  <c r="V42" i="79"/>
  <c r="J45" i="79"/>
  <c r="V46" i="79"/>
  <c r="L55" i="79"/>
  <c r="N55" i="79" s="1"/>
  <c r="J60" i="79"/>
  <c r="V61" i="79"/>
  <c r="J69" i="79"/>
  <c r="R17" i="80"/>
  <c r="X19" i="80"/>
  <c r="Z19" i="80" s="1"/>
  <c r="V20" i="80"/>
  <c r="V23" i="80"/>
  <c r="V26" i="80"/>
  <c r="R33" i="80"/>
  <c r="F36" i="82"/>
  <c r="Z29" i="83"/>
  <c r="N51" i="83"/>
  <c r="N68" i="83"/>
  <c r="Z37" i="84"/>
  <c r="L45" i="79"/>
  <c r="N45" i="79" s="1"/>
  <c r="V56" i="79"/>
  <c r="V62" i="79"/>
  <c r="L69" i="79"/>
  <c r="V70" i="79"/>
  <c r="T17" i="80"/>
  <c r="V33" i="80"/>
  <c r="R36" i="80"/>
  <c r="R44" i="80"/>
  <c r="V68" i="80"/>
  <c r="P72" i="80"/>
  <c r="F41" i="82"/>
  <c r="F47" i="82"/>
  <c r="J71" i="83"/>
  <c r="J65" i="83"/>
  <c r="J57" i="83"/>
  <c r="J25" i="83"/>
  <c r="J21" i="83"/>
  <c r="J19" i="83"/>
  <c r="J17" i="83"/>
  <c r="J67" i="83"/>
  <c r="J53" i="83"/>
  <c r="J43" i="83"/>
  <c r="J27" i="83"/>
  <c r="J23" i="83"/>
  <c r="J61" i="83"/>
  <c r="J48" i="83"/>
  <c r="J34" i="83"/>
  <c r="J31" i="83"/>
  <c r="J22" i="83"/>
  <c r="J15" i="83"/>
  <c r="J78" i="83"/>
  <c r="J58" i="83"/>
  <c r="J49" i="83"/>
  <c r="J70" i="83"/>
  <c r="J62" i="83"/>
  <c r="J54" i="83"/>
  <c r="J80" i="83"/>
  <c r="J63" i="83"/>
  <c r="J55" i="83"/>
  <c r="J59" i="83"/>
  <c r="J50" i="83"/>
  <c r="H17" i="83"/>
  <c r="J83" i="83"/>
  <c r="J64" i="83"/>
  <c r="J45" i="83"/>
  <c r="J32" i="83"/>
  <c r="J72" i="83"/>
  <c r="J68" i="83"/>
  <c r="J56" i="83"/>
  <c r="J39" i="83"/>
  <c r="J29" i="83"/>
  <c r="J26" i="83"/>
  <c r="J20" i="83"/>
  <c r="J51" i="83"/>
  <c r="J46" i="83"/>
  <c r="J74" i="83"/>
  <c r="J76" i="83"/>
  <c r="J69" i="83"/>
  <c r="J60" i="83"/>
  <c r="J30" i="83"/>
  <c r="J24" i="83"/>
  <c r="J52" i="83"/>
  <c r="J42" i="83"/>
  <c r="J37" i="83"/>
  <c r="J66" i="83"/>
  <c r="J14" i="83"/>
  <c r="J35" i="83"/>
  <c r="X85" i="76"/>
  <c r="Z85" i="76" s="1"/>
  <c r="X17" i="79"/>
  <c r="T21" i="79"/>
  <c r="X23" i="79"/>
  <c r="Z23" i="79" s="1"/>
  <c r="V38" i="79"/>
  <c r="Z51" i="79"/>
  <c r="X62" i="79"/>
  <c r="V78" i="79"/>
  <c r="L14" i="80"/>
  <c r="X17" i="80"/>
  <c r="V36" i="80"/>
  <c r="R40" i="80"/>
  <c r="V48" i="80"/>
  <c r="R51" i="80"/>
  <c r="V58" i="80"/>
  <c r="R72" i="80"/>
  <c r="T23" i="82"/>
  <c r="F26" i="82"/>
  <c r="F29" i="82"/>
  <c r="F35" i="82"/>
  <c r="V44" i="82"/>
  <c r="N12" i="83"/>
  <c r="T76" i="83"/>
  <c r="Z17" i="83"/>
  <c r="P76" i="83"/>
  <c r="J28" i="83"/>
  <c r="X40" i="83"/>
  <c r="Z40" i="83" s="1"/>
  <c r="J44" i="83"/>
  <c r="L46" i="83"/>
  <c r="N46" i="83" s="1"/>
  <c r="J67" i="79"/>
  <c r="J59" i="79"/>
  <c r="J49" i="79"/>
  <c r="J19" i="79"/>
  <c r="J71" i="79"/>
  <c r="J55" i="79"/>
  <c r="V26" i="79"/>
  <c r="V33" i="79"/>
  <c r="J40" i="79"/>
  <c r="J48" i="79"/>
  <c r="V50" i="79"/>
  <c r="V51" i="79"/>
  <c r="V66" i="79"/>
  <c r="J68" i="79"/>
  <c r="J74" i="79"/>
  <c r="F57" i="80"/>
  <c r="F56" i="80"/>
  <c r="F49" i="80"/>
  <c r="F48" i="80"/>
  <c r="F70" i="80"/>
  <c r="F52" i="80"/>
  <c r="F36" i="80"/>
  <c r="F32" i="80"/>
  <c r="L12" i="80"/>
  <c r="F59" i="80"/>
  <c r="F43" i="80"/>
  <c r="F42" i="80"/>
  <c r="F62" i="80"/>
  <c r="F61" i="80"/>
  <c r="F38" i="80"/>
  <c r="F34" i="80"/>
  <c r="F30" i="80"/>
  <c r="F29" i="80"/>
  <c r="N14" i="80"/>
  <c r="R15" i="80"/>
  <c r="R25" i="80"/>
  <c r="V29" i="80"/>
  <c r="F31" i="80"/>
  <c r="R32" i="80"/>
  <c r="R39" i="80"/>
  <c r="R43" i="80"/>
  <c r="V51" i="80"/>
  <c r="F53" i="80"/>
  <c r="R66" i="80"/>
  <c r="V19" i="82"/>
  <c r="V23" i="82"/>
  <c r="V27" i="82"/>
  <c r="F38" i="82"/>
  <c r="F43" i="82"/>
  <c r="X17" i="83"/>
  <c r="Z59" i="84"/>
  <c r="V19" i="79"/>
  <c r="L24" i="79"/>
  <c r="N24" i="79" s="1"/>
  <c r="J25" i="79"/>
  <c r="J28" i="79"/>
  <c r="V34" i="79"/>
  <c r="Z45" i="79"/>
  <c r="J53" i="79"/>
  <c r="J58" i="79"/>
  <c r="J64" i="80"/>
  <c r="J50" i="80"/>
  <c r="J59" i="80"/>
  <c r="J53" i="80"/>
  <c r="J43" i="80"/>
  <c r="J27" i="80"/>
  <c r="J23" i="80"/>
  <c r="J75" i="80"/>
  <c r="J72" i="80"/>
  <c r="J54" i="80"/>
  <c r="J44" i="80"/>
  <c r="J63" i="80"/>
  <c r="J57" i="80"/>
  <c r="J49" i="80"/>
  <c r="J25" i="80"/>
  <c r="J21" i="80"/>
  <c r="J19" i="80"/>
  <c r="J17" i="80"/>
  <c r="F20" i="80"/>
  <c r="F21" i="80"/>
  <c r="V22" i="80"/>
  <c r="F24" i="80"/>
  <c r="V25" i="80"/>
  <c r="F27" i="80"/>
  <c r="V28" i="80"/>
  <c r="J31" i="80"/>
  <c r="V32" i="80"/>
  <c r="V39" i="80"/>
  <c r="V40" i="80"/>
  <c r="J42" i="80"/>
  <c r="V43" i="80"/>
  <c r="J46" i="80"/>
  <c r="R54" i="80"/>
  <c r="V61" i="80"/>
  <c r="F63" i="80"/>
  <c r="L25" i="82"/>
  <c r="N26" i="82"/>
  <c r="V36" i="82"/>
  <c r="V29" i="79"/>
  <c r="V44" i="79"/>
  <c r="V45" i="79"/>
  <c r="V54" i="79"/>
  <c r="V60" i="79"/>
  <c r="R35" i="80"/>
  <c r="X50" i="80"/>
  <c r="V54" i="80"/>
  <c r="R57" i="80"/>
  <c r="V60" i="80"/>
  <c r="V66" i="80"/>
  <c r="V21" i="82"/>
  <c r="F25" i="82"/>
  <c r="X26" i="82"/>
  <c r="F40" i="82"/>
  <c r="J41" i="83"/>
  <c r="X46" i="83"/>
  <c r="Z46" i="83" s="1"/>
  <c r="H32" i="85"/>
  <c r="J28" i="85"/>
  <c r="V71" i="79"/>
  <c r="V63" i="79"/>
  <c r="V55" i="79"/>
  <c r="V43" i="79"/>
  <c r="V39" i="79"/>
  <c r="V35" i="79"/>
  <c r="V65" i="79"/>
  <c r="V57" i="79"/>
  <c r="V49" i="79"/>
  <c r="V41" i="79"/>
  <c r="V37" i="79"/>
  <c r="V32" i="79"/>
  <c r="J47" i="79"/>
  <c r="V59" i="79"/>
  <c r="V64" i="79"/>
  <c r="V68" i="79"/>
  <c r="R42" i="80"/>
  <c r="R41" i="80"/>
  <c r="R61" i="80"/>
  <c r="R60" i="80"/>
  <c r="R29" i="80"/>
  <c r="R28" i="80"/>
  <c r="R24" i="80"/>
  <c r="R56" i="80"/>
  <c r="R55" i="80"/>
  <c r="R48" i="80"/>
  <c r="R47" i="80"/>
  <c r="R58" i="80"/>
  <c r="R26" i="80"/>
  <c r="R22" i="80"/>
  <c r="V35" i="80"/>
  <c r="R38" i="80"/>
  <c r="R50" i="80"/>
  <c r="V57" i="80"/>
  <c r="R70" i="80"/>
  <c r="F20" i="82"/>
  <c r="F31" i="82"/>
  <c r="V38" i="82"/>
  <c r="N31" i="84"/>
  <c r="R17" i="85"/>
  <c r="R26" i="85"/>
  <c r="R22" i="85"/>
  <c r="X12" i="85"/>
  <c r="R23" i="85"/>
  <c r="R18" i="85"/>
  <c r="R16" i="85"/>
  <c r="R30" i="85"/>
  <c r="R24" i="85"/>
  <c r="P20" i="85"/>
  <c r="N17" i="79"/>
  <c r="N23" i="79"/>
  <c r="V40" i="79"/>
  <c r="V48" i="79"/>
  <c r="V75" i="80"/>
  <c r="V72" i="80"/>
  <c r="V70" i="80"/>
  <c r="V52" i="80"/>
  <c r="V44" i="80"/>
  <c r="V63" i="80"/>
  <c r="V55" i="80"/>
  <c r="V47" i="80"/>
  <c r="V19" i="80"/>
  <c r="V17" i="80"/>
  <c r="V15" i="80"/>
  <c r="V62" i="80"/>
  <c r="V50" i="80"/>
  <c r="V53" i="80"/>
  <c r="V41" i="80"/>
  <c r="V14" i="80"/>
  <c r="V38" i="80"/>
  <c r="R46" i="80"/>
  <c r="F51" i="82"/>
  <c r="F19" i="82"/>
  <c r="F18" i="82"/>
  <c r="F34" i="82"/>
  <c r="F30" i="82"/>
  <c r="F21" i="82"/>
  <c r="F32" i="82"/>
  <c r="F28" i="82"/>
  <c r="L12" i="82"/>
  <c r="N12" i="82" s="1"/>
  <c r="V51" i="82"/>
  <c r="J36" i="83"/>
  <c r="J38" i="83"/>
  <c r="R89" i="84"/>
  <c r="R82" i="84"/>
  <c r="R81" i="84"/>
  <c r="R104" i="84"/>
  <c r="R96" i="84"/>
  <c r="R92" i="84"/>
  <c r="R65" i="84"/>
  <c r="R64" i="84"/>
  <c r="R56" i="84"/>
  <c r="R52" i="84"/>
  <c r="R37" i="84"/>
  <c r="R76" i="84"/>
  <c r="R75" i="84"/>
  <c r="R109" i="84"/>
  <c r="R94" i="84"/>
  <c r="R71" i="84"/>
  <c r="R70" i="84"/>
  <c r="R59" i="84"/>
  <c r="R58" i="84"/>
  <c r="R54" i="84"/>
  <c r="R50" i="84"/>
  <c r="R31" i="84"/>
  <c r="R63" i="84"/>
  <c r="R55" i="84"/>
  <c r="R49" i="84"/>
  <c r="R45" i="84"/>
  <c r="P35" i="84"/>
  <c r="R35" i="84" s="1"/>
  <c r="R100" i="84"/>
  <c r="R97" i="84"/>
  <c r="R86" i="84"/>
  <c r="R38" i="84"/>
  <c r="R83" i="84"/>
  <c r="R79" i="84"/>
  <c r="R68" i="84"/>
  <c r="R42" i="84"/>
  <c r="X12" i="84"/>
  <c r="Z12" i="84" s="1"/>
  <c r="R113" i="84"/>
  <c r="R107" i="84"/>
  <c r="R101" i="84"/>
  <c r="R95" i="84"/>
  <c r="R80" i="84"/>
  <c r="R72" i="84"/>
  <c r="R53" i="84"/>
  <c r="R39" i="84"/>
  <c r="R98" i="84"/>
  <c r="R93" i="84"/>
  <c r="R90" i="84"/>
  <c r="R69" i="84"/>
  <c r="R46" i="84"/>
  <c r="R84" i="84"/>
  <c r="R60" i="84"/>
  <c r="R43" i="84"/>
  <c r="R91" i="84"/>
  <c r="R87" i="84"/>
  <c r="R61" i="84"/>
  <c r="R32" i="84"/>
  <c r="R105" i="84"/>
  <c r="R102" i="84"/>
  <c r="R88" i="84"/>
  <c r="R77" i="84"/>
  <c r="R73" i="84"/>
  <c r="R51" i="84"/>
  <c r="R47" i="84"/>
  <c r="R40" i="84"/>
  <c r="R74" i="84"/>
  <c r="R57" i="84"/>
  <c r="R48" i="84"/>
  <c r="R103" i="84"/>
  <c r="R99" i="84"/>
  <c r="R85" i="84"/>
  <c r="R66" i="84"/>
  <c r="R62" i="84"/>
  <c r="R44" i="84"/>
  <c r="R33" i="84"/>
  <c r="R106" i="84"/>
  <c r="R78" i="84"/>
  <c r="R67" i="84"/>
  <c r="R41" i="84"/>
  <c r="L85" i="76"/>
  <c r="N85" i="76" s="1"/>
  <c r="J17" i="79"/>
  <c r="V18" i="79"/>
  <c r="J23" i="79"/>
  <c r="V28" i="79"/>
  <c r="L62" i="79"/>
  <c r="N62" i="79" s="1"/>
  <c r="X12" i="80"/>
  <c r="X14" i="80"/>
  <c r="V21" i="80"/>
  <c r="V24" i="80"/>
  <c r="V27" i="80"/>
  <c r="V31" i="80"/>
  <c r="R34" i="80"/>
  <c r="R45" i="80"/>
  <c r="R49" i="80"/>
  <c r="R53" i="80"/>
  <c r="R59" i="80"/>
  <c r="V18" i="82"/>
  <c r="D23" i="82"/>
  <c r="F37" i="82"/>
  <c r="F42" i="82"/>
  <c r="J47" i="83"/>
  <c r="H21" i="79"/>
  <c r="X24" i="79"/>
  <c r="Z24" i="79" s="1"/>
  <c r="V36" i="79"/>
  <c r="J46" i="79"/>
  <c r="N51" i="79"/>
  <c r="V53" i="79"/>
  <c r="J56" i="79"/>
  <c r="L60" i="79"/>
  <c r="N60" i="79" s="1"/>
  <c r="J61" i="79"/>
  <c r="J66" i="79"/>
  <c r="J70" i="79"/>
  <c r="V72" i="79"/>
  <c r="V74" i="79"/>
  <c r="Z12" i="80"/>
  <c r="L17" i="80"/>
  <c r="V34" i="80"/>
  <c r="F40" i="80"/>
  <c r="V42" i="80"/>
  <c r="F44" i="80"/>
  <c r="V45" i="80"/>
  <c r="V46" i="80"/>
  <c r="V49" i="80"/>
  <c r="F55" i="80"/>
  <c r="V59" i="80"/>
  <c r="R63" i="80"/>
  <c r="V40" i="82"/>
  <c r="Z19" i="83"/>
  <c r="L49" i="83"/>
  <c r="J19" i="82"/>
  <c r="J47" i="82"/>
  <c r="J49" i="82"/>
  <c r="R25" i="83"/>
  <c r="F27" i="83"/>
  <c r="V35" i="83"/>
  <c r="F37" i="83"/>
  <c r="V38" i="83"/>
  <c r="R44" i="83"/>
  <c r="R54" i="83"/>
  <c r="Z55" i="83"/>
  <c r="F57" i="83"/>
  <c r="X58" i="83"/>
  <c r="Z58" i="83" s="1"/>
  <c r="F76" i="83"/>
  <c r="X38" i="84"/>
  <c r="Z38" i="84" s="1"/>
  <c r="J40" i="84"/>
  <c r="J47" i="84"/>
  <c r="V49" i="84"/>
  <c r="F51" i="84"/>
  <c r="V52" i="84"/>
  <c r="F54" i="84"/>
  <c r="V55" i="84"/>
  <c r="Z63" i="84"/>
  <c r="V71" i="84"/>
  <c r="J73" i="84"/>
  <c r="F81" i="84"/>
  <c r="L84" i="84"/>
  <c r="N84" i="84" s="1"/>
  <c r="J88" i="84"/>
  <c r="F91" i="84"/>
  <c r="V92" i="84"/>
  <c r="J96" i="84"/>
  <c r="F102" i="84"/>
  <c r="X103" i="84"/>
  <c r="N16" i="85"/>
  <c r="V26" i="85"/>
  <c r="F69" i="83"/>
  <c r="J32" i="84"/>
  <c r="F43" i="84"/>
  <c r="J54" i="84"/>
  <c r="V63" i="84"/>
  <c r="J65" i="84"/>
  <c r="L69" i="84"/>
  <c r="V70" i="84"/>
  <c r="J81" i="84"/>
  <c r="F84" i="84"/>
  <c r="F87" i="84"/>
  <c r="V94" i="84"/>
  <c r="L98" i="84"/>
  <c r="J109" i="84"/>
  <c r="L23" i="85"/>
  <c r="N23" i="85" s="1"/>
  <c r="F70" i="83"/>
  <c r="F38" i="83"/>
  <c r="F34" i="83"/>
  <c r="F30" i="83"/>
  <c r="F29" i="83"/>
  <c r="F78" i="83"/>
  <c r="F60" i="83"/>
  <c r="F52" i="83"/>
  <c r="F51" i="83"/>
  <c r="F36" i="83"/>
  <c r="F32" i="83"/>
  <c r="L12" i="83"/>
  <c r="F33" i="83"/>
  <c r="F40" i="83"/>
  <c r="F41" i="83"/>
  <c r="F46" i="83"/>
  <c r="F47" i="83"/>
  <c r="Z49" i="83"/>
  <c r="L68" i="83"/>
  <c r="V33" i="84"/>
  <c r="J43" i="84"/>
  <c r="V44" i="84"/>
  <c r="F46" i="84"/>
  <c r="J60" i="84"/>
  <c r="V62" i="84"/>
  <c r="V66" i="84"/>
  <c r="F69" i="84"/>
  <c r="F80" i="84"/>
  <c r="V82" i="84"/>
  <c r="V85" i="84"/>
  <c r="J87" i="84"/>
  <c r="J91" i="84"/>
  <c r="F98" i="84"/>
  <c r="V99" i="84"/>
  <c r="Z103" i="84"/>
  <c r="X16" i="85"/>
  <c r="T20" i="85"/>
  <c r="V24" i="85"/>
  <c r="V30" i="85"/>
  <c r="F105" i="84"/>
  <c r="F97" i="84"/>
  <c r="F93" i="84"/>
  <c r="F77" i="84"/>
  <c r="F76" i="84"/>
  <c r="F109" i="84"/>
  <c r="F100" i="84"/>
  <c r="F72" i="84"/>
  <c r="F71" i="84"/>
  <c r="F60" i="84"/>
  <c r="F59" i="84"/>
  <c r="F32" i="84"/>
  <c r="F31" i="84"/>
  <c r="F113" i="84"/>
  <c r="F95" i="84"/>
  <c r="F83" i="84"/>
  <c r="F82" i="84"/>
  <c r="F86" i="84"/>
  <c r="F66" i="84"/>
  <c r="F65" i="84"/>
  <c r="F37" i="84"/>
  <c r="F35" i="84"/>
  <c r="L12" i="84"/>
  <c r="F38" i="84"/>
  <c r="F39" i="84"/>
  <c r="F56" i="84"/>
  <c r="V57" i="84"/>
  <c r="F64" i="84"/>
  <c r="N69" i="84"/>
  <c r="F90" i="84"/>
  <c r="V96" i="84"/>
  <c r="V103" i="84"/>
  <c r="V20" i="85"/>
  <c r="D19" i="87"/>
  <c r="F36" i="87"/>
  <c r="T85" i="91"/>
  <c r="F72" i="83"/>
  <c r="F83" i="83"/>
  <c r="J106" i="84"/>
  <c r="J98" i="84"/>
  <c r="J78" i="84"/>
  <c r="J68" i="84"/>
  <c r="J113" i="84"/>
  <c r="J101" i="84"/>
  <c r="J95" i="84"/>
  <c r="J83" i="84"/>
  <c r="J61" i="84"/>
  <c r="J55" i="84"/>
  <c r="J51" i="84"/>
  <c r="J102" i="84"/>
  <c r="J90" i="84"/>
  <c r="J84" i="84"/>
  <c r="J105" i="84"/>
  <c r="J97" i="84"/>
  <c r="J93" i="84"/>
  <c r="J77" i="84"/>
  <c r="J67" i="84"/>
  <c r="J57" i="84"/>
  <c r="J53" i="84"/>
  <c r="J49" i="84"/>
  <c r="J31" i="84"/>
  <c r="J39" i="84"/>
  <c r="V40" i="84"/>
  <c r="F42" i="84"/>
  <c r="V48" i="84"/>
  <c r="F50" i="84"/>
  <c r="V51" i="84"/>
  <c r="F53" i="84"/>
  <c r="V54" i="84"/>
  <c r="J56" i="84"/>
  <c r="J64" i="84"/>
  <c r="J69" i="84"/>
  <c r="J72" i="84"/>
  <c r="V73" i="84"/>
  <c r="V74" i="84"/>
  <c r="J76" i="84"/>
  <c r="V77" i="84"/>
  <c r="F79" i="84"/>
  <c r="J80" i="84"/>
  <c r="V102" i="84"/>
  <c r="V105" i="84"/>
  <c r="F107" i="84"/>
  <c r="F18" i="85"/>
  <c r="F26" i="85"/>
  <c r="F30" i="85"/>
  <c r="L12" i="85"/>
  <c r="Z16" i="85"/>
  <c r="J19" i="87"/>
  <c r="N22" i="87"/>
  <c r="F24" i="87"/>
  <c r="J26" i="87"/>
  <c r="F28" i="87"/>
  <c r="J36" i="82"/>
  <c r="J40" i="82"/>
  <c r="J44" i="82"/>
  <c r="R66" i="83"/>
  <c r="R51" i="83"/>
  <c r="R50" i="83"/>
  <c r="R26" i="83"/>
  <c r="R22" i="83"/>
  <c r="R56" i="83"/>
  <c r="R29" i="83"/>
  <c r="R28" i="83"/>
  <c r="R24" i="83"/>
  <c r="D17" i="83"/>
  <c r="R30" i="83"/>
  <c r="R42" i="83"/>
  <c r="F45" i="83"/>
  <c r="R60" i="83"/>
  <c r="R76" i="83"/>
  <c r="N12" i="84"/>
  <c r="V32" i="84"/>
  <c r="D35" i="84"/>
  <c r="J37" i="84"/>
  <c r="J38" i="84"/>
  <c r="J42" i="84"/>
  <c r="J50" i="84"/>
  <c r="J59" i="84"/>
  <c r="F68" i="84"/>
  <c r="X69" i="84"/>
  <c r="X74" i="84"/>
  <c r="Z74" i="84" s="1"/>
  <c r="J79" i="84"/>
  <c r="L80" i="84"/>
  <c r="N80" i="84" s="1"/>
  <c r="V87" i="84"/>
  <c r="V88" i="84"/>
  <c r="Z91" i="84"/>
  <c r="X98" i="84"/>
  <c r="Z98" i="84" s="1"/>
  <c r="F104" i="84"/>
  <c r="J107" i="84"/>
  <c r="J23" i="85"/>
  <c r="J30" i="85"/>
  <c r="N12" i="85"/>
  <c r="J18" i="85"/>
  <c r="V16" i="85"/>
  <c r="V18" i="85"/>
  <c r="F22" i="85"/>
  <c r="X23" i="85"/>
  <c r="Z23" i="85" s="1"/>
  <c r="J16" i="87"/>
  <c r="J21" i="82"/>
  <c r="J35" i="82"/>
  <c r="V53" i="83"/>
  <c r="V41" i="83"/>
  <c r="V71" i="83"/>
  <c r="V63" i="83"/>
  <c r="V47" i="83"/>
  <c r="V19" i="83"/>
  <c r="V17" i="83"/>
  <c r="V15" i="83"/>
  <c r="V14" i="83"/>
  <c r="F17" i="83"/>
  <c r="R21" i="83"/>
  <c r="F23" i="83"/>
  <c r="V30" i="83"/>
  <c r="R33" i="83"/>
  <c r="R41" i="83"/>
  <c r="L44" i="83"/>
  <c r="N44" i="83" s="1"/>
  <c r="R47" i="83"/>
  <c r="F50" i="83"/>
  <c r="F55" i="83"/>
  <c r="F59" i="83"/>
  <c r="V60" i="83"/>
  <c r="F71" i="83"/>
  <c r="F80" i="83"/>
  <c r="H35" i="84"/>
  <c r="F45" i="84"/>
  <c r="V60" i="84"/>
  <c r="F63" i="84"/>
  <c r="V65" i="84"/>
  <c r="J86" i="84"/>
  <c r="X88" i="84"/>
  <c r="Z88" i="84" s="1"/>
  <c r="V91" i="84"/>
  <c r="J100" i="84"/>
  <c r="J104" i="84"/>
  <c r="N22" i="85"/>
  <c r="P12" i="87"/>
  <c r="X16" i="87"/>
  <c r="F44" i="83"/>
  <c r="N55" i="83"/>
  <c r="L58" i="83"/>
  <c r="N58" i="83" s="1"/>
  <c r="F62" i="83"/>
  <c r="F63" i="83"/>
  <c r="F67" i="83"/>
  <c r="X68" i="83"/>
  <c r="Z68" i="83" s="1"/>
  <c r="V100" i="84"/>
  <c r="V84" i="84"/>
  <c r="V72" i="84"/>
  <c r="V75" i="84"/>
  <c r="V67" i="84"/>
  <c r="V47" i="84"/>
  <c r="V43" i="84"/>
  <c r="V39" i="84"/>
  <c r="V106" i="84"/>
  <c r="V98" i="84"/>
  <c r="V86" i="84"/>
  <c r="V78" i="84"/>
  <c r="V101" i="84"/>
  <c r="V89" i="84"/>
  <c r="V81" i="84"/>
  <c r="V61" i="84"/>
  <c r="V45" i="84"/>
  <c r="V41" i="84"/>
  <c r="J35" i="84"/>
  <c r="J45" i="84"/>
  <c r="V46" i="84"/>
  <c r="V56" i="84"/>
  <c r="F58" i="84"/>
  <c r="N63" i="84"/>
  <c r="V64" i="84"/>
  <c r="F67" i="84"/>
  <c r="Z69" i="84"/>
  <c r="J71" i="84"/>
  <c r="F75" i="84"/>
  <c r="V90" i="84"/>
  <c r="V93" i="84"/>
  <c r="F41" i="84"/>
  <c r="F48" i="84"/>
  <c r="F49" i="84"/>
  <c r="V50" i="84"/>
  <c r="F52" i="84"/>
  <c r="V53" i="84"/>
  <c r="F55" i="84"/>
  <c r="J58" i="84"/>
  <c r="J63" i="84"/>
  <c r="V69" i="84"/>
  <c r="J75" i="84"/>
  <c r="F78" i="84"/>
  <c r="Z80" i="84"/>
  <c r="F89" i="84"/>
  <c r="F92" i="84"/>
  <c r="V95" i="84"/>
  <c r="L103" i="84"/>
  <c r="F106" i="84"/>
  <c r="V107" i="84"/>
  <c r="V113" i="84"/>
  <c r="D20" i="85"/>
  <c r="X22" i="85"/>
  <c r="Z22" i="85" s="1"/>
  <c r="N53" i="87"/>
  <c r="F33" i="84"/>
  <c r="J41" i="84"/>
  <c r="V42" i="84"/>
  <c r="F44" i="84"/>
  <c r="J52" i="84"/>
  <c r="F62" i="84"/>
  <c r="L63" i="84"/>
  <c r="V68" i="84"/>
  <c r="F74" i="84"/>
  <c r="V76" i="84"/>
  <c r="V79" i="84"/>
  <c r="V80" i="84"/>
  <c r="J82" i="84"/>
  <c r="V83" i="84"/>
  <c r="F85" i="84"/>
  <c r="J89" i="84"/>
  <c r="J92" i="84"/>
  <c r="F103" i="84"/>
  <c r="V104" i="84"/>
  <c r="Z12" i="85"/>
  <c r="F86" i="87"/>
  <c r="F64" i="87"/>
  <c r="F63" i="87"/>
  <c r="F48" i="87"/>
  <c r="F61" i="87"/>
  <c r="F45" i="87"/>
  <c r="F44" i="87"/>
  <c r="F91" i="87"/>
  <c r="F73" i="87"/>
  <c r="L12" i="87"/>
  <c r="F84" i="87"/>
  <c r="F77" i="87"/>
  <c r="F55" i="87"/>
  <c r="F49" i="87"/>
  <c r="F39" i="87"/>
  <c r="F35" i="87"/>
  <c r="F78" i="87"/>
  <c r="F60" i="87"/>
  <c r="F56" i="87"/>
  <c r="F50" i="87"/>
  <c r="F30" i="87"/>
  <c r="F26" i="87"/>
  <c r="F71" i="87"/>
  <c r="F68" i="87"/>
  <c r="F17" i="87"/>
  <c r="F16" i="87"/>
  <c r="F74" i="87"/>
  <c r="F46" i="87"/>
  <c r="F40" i="87"/>
  <c r="F79" i="87"/>
  <c r="F65" i="87"/>
  <c r="F51" i="87"/>
  <c r="F27" i="87"/>
  <c r="F23" i="87"/>
  <c r="F22" i="87"/>
  <c r="F80" i="87"/>
  <c r="F66" i="87"/>
  <c r="F57" i="87"/>
  <c r="F47" i="87"/>
  <c r="F21" i="87"/>
  <c r="F19" i="87"/>
  <c r="F75" i="87"/>
  <c r="F69" i="87"/>
  <c r="F52" i="87"/>
  <c r="F41" i="87"/>
  <c r="F37" i="87"/>
  <c r="F33" i="87"/>
  <c r="F72" i="87"/>
  <c r="F88" i="87"/>
  <c r="F58" i="87"/>
  <c r="F42" i="87"/>
  <c r="F82" i="87"/>
  <c r="F76" i="87"/>
  <c r="F67" i="87"/>
  <c r="F62" i="87"/>
  <c r="F59" i="87"/>
  <c r="F53" i="87"/>
  <c r="F43" i="87"/>
  <c r="F38" i="87"/>
  <c r="F34" i="87"/>
  <c r="F70" i="87"/>
  <c r="F54" i="87"/>
  <c r="F29" i="87"/>
  <c r="F25" i="87"/>
  <c r="J21" i="87"/>
  <c r="Z21" i="88"/>
  <c r="J33" i="84"/>
  <c r="J44" i="84"/>
  <c r="J48" i="84"/>
  <c r="V59" i="84"/>
  <c r="J62" i="84"/>
  <c r="J66" i="84"/>
  <c r="F70" i="84"/>
  <c r="N74" i="84"/>
  <c r="J85" i="84"/>
  <c r="F88" i="84"/>
  <c r="F94" i="84"/>
  <c r="V97" i="84"/>
  <c r="F99" i="84"/>
  <c r="N103" i="84"/>
  <c r="J65" i="87"/>
  <c r="J59" i="87"/>
  <c r="J49" i="87"/>
  <c r="J91" i="87"/>
  <c r="J88" i="87"/>
  <c r="J74" i="87"/>
  <c r="J70" i="87"/>
  <c r="J66" i="87"/>
  <c r="J80" i="87"/>
  <c r="J72" i="87"/>
  <c r="J68" i="87"/>
  <c r="J56" i="87"/>
  <c r="J46" i="87"/>
  <c r="J39" i="87"/>
  <c r="J35" i="87"/>
  <c r="J78" i="87"/>
  <c r="J64" i="87"/>
  <c r="J60" i="87"/>
  <c r="J50" i="87"/>
  <c r="J45" i="87"/>
  <c r="J30" i="87"/>
  <c r="J71" i="87"/>
  <c r="J31" i="87"/>
  <c r="J79" i="87"/>
  <c r="J51" i="87"/>
  <c r="J40" i="87"/>
  <c r="J36" i="87"/>
  <c r="J32" i="87"/>
  <c r="J22" i="87"/>
  <c r="J86" i="87"/>
  <c r="J75" i="87"/>
  <c r="J57" i="87"/>
  <c r="J47" i="87"/>
  <c r="H19" i="87"/>
  <c r="J69" i="87"/>
  <c r="J61" i="87"/>
  <c r="J52" i="87"/>
  <c r="J41" i="87"/>
  <c r="J37" i="87"/>
  <c r="J33" i="87"/>
  <c r="J58" i="87"/>
  <c r="J42" i="87"/>
  <c r="J28" i="87"/>
  <c r="J24" i="87"/>
  <c r="J82" i="87"/>
  <c r="J53" i="87"/>
  <c r="J76" i="87"/>
  <c r="J67" i="87"/>
  <c r="J62" i="87"/>
  <c r="J48" i="87"/>
  <c r="J43" i="87"/>
  <c r="J38" i="87"/>
  <c r="J34" i="87"/>
  <c r="J54" i="87"/>
  <c r="J29" i="87"/>
  <c r="J25" i="87"/>
  <c r="J84" i="87"/>
  <c r="J77" i="87"/>
  <c r="J73" i="87"/>
  <c r="J63" i="87"/>
  <c r="J55" i="87"/>
  <c r="J44" i="87"/>
  <c r="N12" i="87"/>
  <c r="J17" i="87"/>
  <c r="J27" i="87"/>
  <c r="F31" i="87"/>
  <c r="J38" i="82"/>
  <c r="R17" i="83"/>
  <c r="R35" i="83"/>
  <c r="R38" i="83"/>
  <c r="F42" i="83"/>
  <c r="F43" i="83"/>
  <c r="X44" i="83"/>
  <c r="Z44" i="83" s="1"/>
  <c r="R55" i="83"/>
  <c r="R63" i="83"/>
  <c r="F66" i="83"/>
  <c r="R71" i="83"/>
  <c r="R80" i="83"/>
  <c r="T35" i="84"/>
  <c r="V38" i="84"/>
  <c r="F40" i="84"/>
  <c r="F47" i="84"/>
  <c r="F57" i="84"/>
  <c r="V58" i="84"/>
  <c r="F61" i="84"/>
  <c r="J70" i="84"/>
  <c r="F73" i="84"/>
  <c r="J74" i="84"/>
  <c r="X78" i="84"/>
  <c r="Z78" i="84" s="1"/>
  <c r="L91" i="84"/>
  <c r="N91" i="84" s="1"/>
  <c r="J94" i="84"/>
  <c r="F96" i="84"/>
  <c r="J99" i="84"/>
  <c r="J103" i="84"/>
  <c r="X106" i="84"/>
  <c r="Z106" i="84" s="1"/>
  <c r="F16" i="85"/>
  <c r="J20" i="85"/>
  <c r="V22" i="85"/>
  <c r="J24" i="85"/>
  <c r="T19" i="87"/>
  <c r="V32" i="87"/>
  <c r="V36" i="87"/>
  <c r="V40" i="87"/>
  <c r="V68" i="87"/>
  <c r="R34" i="88"/>
  <c r="R21" i="88"/>
  <c r="R20" i="88"/>
  <c r="P16" i="88"/>
  <c r="R39" i="88"/>
  <c r="R36" i="88"/>
  <c r="X14" i="88"/>
  <c r="N18" i="88"/>
  <c r="X21" i="88"/>
  <c r="F23" i="88"/>
  <c r="X25" i="88"/>
  <c r="Z27" i="88"/>
  <c r="N12" i="91"/>
  <c r="X29" i="91"/>
  <c r="J34" i="91"/>
  <c r="R37" i="91"/>
  <c r="F43" i="91"/>
  <c r="J46" i="91"/>
  <c r="F57" i="91"/>
  <c r="Z15" i="92"/>
  <c r="V22" i="92"/>
  <c r="V24" i="92"/>
  <c r="X45" i="92"/>
  <c r="V17" i="87"/>
  <c r="V19" i="87"/>
  <c r="V21" i="87"/>
  <c r="V51" i="87"/>
  <c r="V56" i="87"/>
  <c r="V60" i="87"/>
  <c r="V23" i="88"/>
  <c r="V22" i="88"/>
  <c r="V32" i="88"/>
  <c r="V30" i="88"/>
  <c r="V28" i="88"/>
  <c r="Z12" i="88"/>
  <c r="D16" i="88"/>
  <c r="X19" i="88"/>
  <c r="R56" i="91"/>
  <c r="R49" i="91"/>
  <c r="R48" i="91"/>
  <c r="R69" i="91"/>
  <c r="R68" i="91"/>
  <c r="R52" i="91"/>
  <c r="R36" i="91"/>
  <c r="R32" i="91"/>
  <c r="X12" i="91"/>
  <c r="R63" i="91"/>
  <c r="R44" i="91"/>
  <c r="R43" i="91"/>
  <c r="R27" i="91"/>
  <c r="R23" i="91"/>
  <c r="R72" i="91"/>
  <c r="R64" i="91"/>
  <c r="R60" i="91"/>
  <c r="R29" i="91"/>
  <c r="R28" i="91"/>
  <c r="R24" i="91"/>
  <c r="R20" i="91"/>
  <c r="R76" i="91"/>
  <c r="R47" i="91"/>
  <c r="R46" i="91"/>
  <c r="R38" i="91"/>
  <c r="R78" i="91"/>
  <c r="R65" i="91"/>
  <c r="R61" i="91"/>
  <c r="R25" i="91"/>
  <c r="R21" i="91"/>
  <c r="R22" i="91"/>
  <c r="F26" i="91"/>
  <c r="R40" i="91"/>
  <c r="R55" i="91"/>
  <c r="J57" i="91"/>
  <c r="J70" i="91"/>
  <c r="R74" i="91"/>
  <c r="L20" i="92"/>
  <c r="N20" i="92" s="1"/>
  <c r="V38" i="92"/>
  <c r="Z45" i="92"/>
  <c r="V79" i="87"/>
  <c r="V71" i="87"/>
  <c r="V67" i="87"/>
  <c r="V55" i="87"/>
  <c r="V78" i="87"/>
  <c r="V91" i="87"/>
  <c r="V88" i="87"/>
  <c r="V86" i="87"/>
  <c r="V64" i="87"/>
  <c r="V48" i="87"/>
  <c r="V22" i="87"/>
  <c r="V26" i="87"/>
  <c r="V30" i="87"/>
  <c r="V45" i="87"/>
  <c r="V46" i="87"/>
  <c r="V50" i="87"/>
  <c r="X12" i="88"/>
  <c r="F16" i="88"/>
  <c r="F34" i="88"/>
  <c r="R19" i="91"/>
  <c r="F21" i="91"/>
  <c r="F54" i="91"/>
  <c r="F62" i="91"/>
  <c r="L67" i="91"/>
  <c r="N67" i="91" s="1"/>
  <c r="J78" i="91"/>
  <c r="F82" i="91"/>
  <c r="R68" i="92"/>
  <c r="R57" i="92"/>
  <c r="R56" i="92"/>
  <c r="R21" i="92"/>
  <c r="R16" i="92"/>
  <c r="R64" i="92"/>
  <c r="R63" i="92"/>
  <c r="R80" i="92"/>
  <c r="R59" i="92"/>
  <c r="R58" i="92"/>
  <c r="R85" i="92"/>
  <c r="R82" i="92"/>
  <c r="R70" i="92"/>
  <c r="R69" i="92"/>
  <c r="R65" i="92"/>
  <c r="R50" i="92"/>
  <c r="R49" i="92"/>
  <c r="R60" i="92"/>
  <c r="R41" i="92"/>
  <c r="R40" i="92"/>
  <c r="R36" i="92"/>
  <c r="R32" i="92"/>
  <c r="R71" i="92"/>
  <c r="R52" i="92"/>
  <c r="R51" i="92"/>
  <c r="R27" i="92"/>
  <c r="R23" i="92"/>
  <c r="R66" i="92"/>
  <c r="R43" i="92"/>
  <c r="R42" i="92"/>
  <c r="R61" i="92"/>
  <c r="R54" i="92"/>
  <c r="R53" i="92"/>
  <c r="R73" i="92"/>
  <c r="R72" i="92"/>
  <c r="R45" i="92"/>
  <c r="R44" i="92"/>
  <c r="R28" i="92"/>
  <c r="R24" i="92"/>
  <c r="R67" i="92"/>
  <c r="R55" i="92"/>
  <c r="R74" i="92"/>
  <c r="R62" i="92"/>
  <c r="R46" i="92"/>
  <c r="R38" i="92"/>
  <c r="R34" i="92"/>
  <c r="R15" i="92"/>
  <c r="R78" i="92"/>
  <c r="R76" i="92"/>
  <c r="R30" i="92"/>
  <c r="R29" i="92"/>
  <c r="R25" i="92"/>
  <c r="R26" i="92"/>
  <c r="R31" i="92"/>
  <c r="D78" i="93"/>
  <c r="V73" i="87"/>
  <c r="H85" i="91"/>
  <c r="J21" i="91"/>
  <c r="J33" i="91"/>
  <c r="R34" i="91"/>
  <c r="J36" i="91"/>
  <c r="R39" i="91"/>
  <c r="R57" i="91"/>
  <c r="J82" i="91"/>
  <c r="V26" i="92"/>
  <c r="V28" i="92"/>
  <c r="R33" i="92"/>
  <c r="X31" i="87"/>
  <c r="L53" i="87"/>
  <c r="V70" i="87"/>
  <c r="L82" i="87"/>
  <c r="F14" i="88"/>
  <c r="V19" i="88"/>
  <c r="F21" i="88"/>
  <c r="R18" i="91"/>
  <c r="R26" i="91"/>
  <c r="F30" i="91"/>
  <c r="J48" i="91"/>
  <c r="J67" i="91"/>
  <c r="R70" i="91"/>
  <c r="V49" i="92"/>
  <c r="R81" i="93"/>
  <c r="R78" i="93"/>
  <c r="R57" i="93"/>
  <c r="R51" i="93"/>
  <c r="R43" i="93"/>
  <c r="R42" i="93"/>
  <c r="R38" i="93"/>
  <c r="R34" i="93"/>
  <c r="R72" i="93"/>
  <c r="R62" i="93"/>
  <c r="R29" i="93"/>
  <c r="R25" i="93"/>
  <c r="R66" i="93"/>
  <c r="X12" i="93"/>
  <c r="R74" i="93"/>
  <c r="R59" i="93"/>
  <c r="R58" i="93"/>
  <c r="R53" i="93"/>
  <c r="R52" i="93"/>
  <c r="R44" i="93"/>
  <c r="R39" i="93"/>
  <c r="R35" i="93"/>
  <c r="R16" i="93"/>
  <c r="R63" i="93"/>
  <c r="R45" i="93"/>
  <c r="R30" i="93"/>
  <c r="R26" i="93"/>
  <c r="R68" i="93"/>
  <c r="R67" i="93"/>
  <c r="R54" i="93"/>
  <c r="R22" i="93"/>
  <c r="R17" i="93"/>
  <c r="R60" i="93"/>
  <c r="R47" i="93"/>
  <c r="R46" i="93"/>
  <c r="R40" i="93"/>
  <c r="R36" i="93"/>
  <c r="R21" i="93"/>
  <c r="R19" i="93"/>
  <c r="R76" i="93"/>
  <c r="R64" i="93"/>
  <c r="R32" i="93"/>
  <c r="R31" i="93"/>
  <c r="R27" i="93"/>
  <c r="R23" i="93"/>
  <c r="P19" i="93"/>
  <c r="R69" i="93"/>
  <c r="R55" i="93"/>
  <c r="R48" i="93"/>
  <c r="R56" i="93"/>
  <c r="R49" i="93"/>
  <c r="R41" i="93"/>
  <c r="R37" i="93"/>
  <c r="R33" i="93"/>
  <c r="R61" i="93"/>
  <c r="R28" i="93"/>
  <c r="R24" i="93"/>
  <c r="R70" i="93"/>
  <c r="R65" i="93"/>
  <c r="R50" i="93"/>
  <c r="V25" i="87"/>
  <c r="V29" i="87"/>
  <c r="V49" i="87"/>
  <c r="V54" i="87"/>
  <c r="V59" i="87"/>
  <c r="V76" i="87"/>
  <c r="V77" i="87"/>
  <c r="V84" i="87"/>
  <c r="Z18" i="88"/>
  <c r="F26" i="88"/>
  <c r="L27" i="88"/>
  <c r="F14" i="91"/>
  <c r="N16" i="91"/>
  <c r="F23" i="91"/>
  <c r="F25" i="91"/>
  <c r="J30" i="91"/>
  <c r="F38" i="91"/>
  <c r="F41" i="91"/>
  <c r="J42" i="91"/>
  <c r="J51" i="91"/>
  <c r="X54" i="91"/>
  <c r="Z54" i="91" s="1"/>
  <c r="R62" i="91"/>
  <c r="X67" i="91"/>
  <c r="Z67" i="91" s="1"/>
  <c r="F76" i="91"/>
  <c r="R82" i="91"/>
  <c r="J73" i="92"/>
  <c r="J67" i="92"/>
  <c r="J55" i="92"/>
  <c r="J45" i="92"/>
  <c r="J74" i="92"/>
  <c r="J62" i="92"/>
  <c r="J78" i="92"/>
  <c r="J76" i="92"/>
  <c r="J68" i="92"/>
  <c r="J56" i="92"/>
  <c r="J63" i="92"/>
  <c r="J57" i="92"/>
  <c r="J47" i="92"/>
  <c r="J39" i="92"/>
  <c r="J35" i="92"/>
  <c r="J31" i="92"/>
  <c r="J21" i="92"/>
  <c r="J80" i="92"/>
  <c r="J64" i="92"/>
  <c r="J58" i="92"/>
  <c r="J48" i="92"/>
  <c r="J26" i="92"/>
  <c r="J22" i="92"/>
  <c r="J20" i="92"/>
  <c r="J18" i="92"/>
  <c r="N12" i="92"/>
  <c r="J69" i="92"/>
  <c r="J65" i="92"/>
  <c r="J59" i="92"/>
  <c r="J49" i="92"/>
  <c r="J85" i="92"/>
  <c r="J82" i="92"/>
  <c r="J70" i="92"/>
  <c r="J60" i="92"/>
  <c r="J50" i="92"/>
  <c r="J71" i="92"/>
  <c r="J51" i="92"/>
  <c r="J41" i="92"/>
  <c r="J27" i="92"/>
  <c r="J23" i="92"/>
  <c r="J66" i="92"/>
  <c r="J61" i="92"/>
  <c r="J53" i="92"/>
  <c r="J43" i="92"/>
  <c r="J37" i="92"/>
  <c r="J33" i="92"/>
  <c r="J72" i="92"/>
  <c r="J54" i="92"/>
  <c r="J44" i="92"/>
  <c r="J28" i="92"/>
  <c r="J24" i="92"/>
  <c r="J25" i="92"/>
  <c r="R35" i="92"/>
  <c r="R37" i="92"/>
  <c r="V44" i="92"/>
  <c r="N22" i="94"/>
  <c r="V34" i="87"/>
  <c r="V38" i="87"/>
  <c r="V43" i="87"/>
  <c r="V44" i="87"/>
  <c r="V62" i="87"/>
  <c r="V63" i="87"/>
  <c r="R16" i="88"/>
  <c r="V18" i="88"/>
  <c r="R23" i="88"/>
  <c r="F32" i="88"/>
  <c r="V34" i="88"/>
  <c r="P16" i="91"/>
  <c r="J25" i="91"/>
  <c r="R33" i="91"/>
  <c r="J38" i="91"/>
  <c r="J41" i="91"/>
  <c r="R45" i="91"/>
  <c r="X51" i="91"/>
  <c r="R54" i="91"/>
  <c r="J56" i="91"/>
  <c r="F61" i="91"/>
  <c r="F66" i="91"/>
  <c r="R67" i="91"/>
  <c r="L75" i="91"/>
  <c r="D74" i="91"/>
  <c r="L74" i="91" s="1"/>
  <c r="J76" i="91"/>
  <c r="L12" i="92"/>
  <c r="R20" i="92"/>
  <c r="J32" i="92"/>
  <c r="V72" i="87"/>
  <c r="T16" i="88"/>
  <c r="H32" i="88"/>
  <c r="R51" i="91"/>
  <c r="J58" i="91"/>
  <c r="R59" i="91"/>
  <c r="J61" i="91"/>
  <c r="F75" i="91"/>
  <c r="F80" i="91"/>
  <c r="V63" i="92"/>
  <c r="V59" i="92"/>
  <c r="V47" i="92"/>
  <c r="V39" i="92"/>
  <c r="V35" i="92"/>
  <c r="V31" i="92"/>
  <c r="T18" i="92"/>
  <c r="V85" i="92"/>
  <c r="V82" i="92"/>
  <c r="V80" i="92"/>
  <c r="V70" i="92"/>
  <c r="V58" i="92"/>
  <c r="V50" i="92"/>
  <c r="V69" i="92"/>
  <c r="V65" i="92"/>
  <c r="V60" i="92"/>
  <c r="V52" i="92"/>
  <c r="V40" i="92"/>
  <c r="V36" i="92"/>
  <c r="V71" i="92"/>
  <c r="V51" i="92"/>
  <c r="V43" i="92"/>
  <c r="V27" i="92"/>
  <c r="V23" i="92"/>
  <c r="V66" i="92"/>
  <c r="V54" i="92"/>
  <c r="V42" i="92"/>
  <c r="V73" i="92"/>
  <c r="V61" i="92"/>
  <c r="V53" i="92"/>
  <c r="V45" i="92"/>
  <c r="V37" i="92"/>
  <c r="V33" i="92"/>
  <c r="V72" i="92"/>
  <c r="V67" i="92"/>
  <c r="V55" i="92"/>
  <c r="V15" i="92"/>
  <c r="V78" i="92"/>
  <c r="V76" i="92"/>
  <c r="V74" i="92"/>
  <c r="V62" i="92"/>
  <c r="V57" i="92"/>
  <c r="V29" i="92"/>
  <c r="V25" i="92"/>
  <c r="V21" i="92"/>
  <c r="V68" i="92"/>
  <c r="V64" i="92"/>
  <c r="V56" i="92"/>
  <c r="V48" i="92"/>
  <c r="V20" i="92"/>
  <c r="V18" i="92"/>
  <c r="V16" i="92"/>
  <c r="R39" i="92"/>
  <c r="V24" i="87"/>
  <c r="V28" i="87"/>
  <c r="V52" i="87"/>
  <c r="V53" i="87"/>
  <c r="V69" i="87"/>
  <c r="V82" i="87"/>
  <c r="V16" i="88"/>
  <c r="L30" i="88"/>
  <c r="L29" i="91"/>
  <c r="R30" i="91"/>
  <c r="J32" i="91"/>
  <c r="L40" i="91"/>
  <c r="R42" i="91"/>
  <c r="J44" i="91"/>
  <c r="J47" i="91"/>
  <c r="F50" i="91"/>
  <c r="R53" i="91"/>
  <c r="J75" i="91"/>
  <c r="H78" i="92"/>
  <c r="V33" i="87"/>
  <c r="V37" i="87"/>
  <c r="V41" i="87"/>
  <c r="L51" i="87"/>
  <c r="X53" i="87"/>
  <c r="Z53" i="87" s="1"/>
  <c r="V57" i="87"/>
  <c r="V58" i="87"/>
  <c r="V61" i="87"/>
  <c r="V66" i="87"/>
  <c r="V80" i="87"/>
  <c r="X82" i="87"/>
  <c r="F28" i="88"/>
  <c r="F27" i="88"/>
  <c r="L12" i="88"/>
  <c r="F39" i="88"/>
  <c r="F36" i="88"/>
  <c r="F30" i="88"/>
  <c r="F72" i="91"/>
  <c r="F71" i="91"/>
  <c r="F64" i="91"/>
  <c r="F60" i="91"/>
  <c r="F59" i="91"/>
  <c r="F28" i="91"/>
  <c r="F24" i="91"/>
  <c r="F56" i="91"/>
  <c r="F48" i="91"/>
  <c r="F47" i="91"/>
  <c r="F78" i="91"/>
  <c r="F39" i="91"/>
  <c r="F35" i="91"/>
  <c r="F31" i="91"/>
  <c r="F68" i="91"/>
  <c r="F67" i="91"/>
  <c r="F52" i="91"/>
  <c r="F51" i="91"/>
  <c r="F36" i="91"/>
  <c r="F32" i="91"/>
  <c r="F70" i="91"/>
  <c r="F69" i="91"/>
  <c r="F58" i="91"/>
  <c r="F53" i="91"/>
  <c r="F45" i="91"/>
  <c r="F44" i="91"/>
  <c r="F37" i="91"/>
  <c r="F33" i="91"/>
  <c r="Z16" i="91"/>
  <c r="F19" i="91"/>
  <c r="F27" i="91"/>
  <c r="F29" i="91"/>
  <c r="F40" i="91"/>
  <c r="R41" i="91"/>
  <c r="X42" i="91"/>
  <c r="Z42" i="91"/>
  <c r="L47" i="91"/>
  <c r="R66" i="91"/>
  <c r="F74" i="91"/>
  <c r="Z12" i="92"/>
  <c r="N18" i="92"/>
  <c r="V30" i="92"/>
  <c r="V32" i="92"/>
  <c r="R48" i="92"/>
  <c r="V42" i="87"/>
  <c r="V47" i="87"/>
  <c r="V75" i="87"/>
  <c r="V26" i="88"/>
  <c r="V27" i="88"/>
  <c r="J55" i="91"/>
  <c r="J29" i="91"/>
  <c r="J49" i="91"/>
  <c r="J39" i="91"/>
  <c r="J35" i="91"/>
  <c r="J31" i="91"/>
  <c r="J80" i="91"/>
  <c r="J66" i="91"/>
  <c r="J62" i="91"/>
  <c r="J50" i="91"/>
  <c r="J40" i="91"/>
  <c r="J26" i="91"/>
  <c r="J22" i="91"/>
  <c r="J69" i="91"/>
  <c r="J63" i="91"/>
  <c r="J43" i="91"/>
  <c r="J27" i="91"/>
  <c r="J23" i="91"/>
  <c r="J71" i="91"/>
  <c r="J59" i="91"/>
  <c r="J53" i="91"/>
  <c r="J45" i="91"/>
  <c r="J37" i="91"/>
  <c r="J72" i="91"/>
  <c r="J64" i="91"/>
  <c r="J60" i="91"/>
  <c r="J54" i="91"/>
  <c r="J28" i="91"/>
  <c r="J24" i="91"/>
  <c r="J20" i="91"/>
  <c r="J18" i="91"/>
  <c r="J16" i="91"/>
  <c r="J14" i="91"/>
  <c r="F22" i="91"/>
  <c r="R35" i="91"/>
  <c r="F55" i="91"/>
  <c r="R58" i="91"/>
  <c r="F63" i="91"/>
  <c r="F65" i="91"/>
  <c r="J68" i="91"/>
  <c r="R80" i="91"/>
  <c r="P18" i="92"/>
  <c r="V41" i="92"/>
  <c r="V23" i="87"/>
  <c r="V27" i="87"/>
  <c r="X46" i="87"/>
  <c r="Z46" i="87" s="1"/>
  <c r="V74" i="87"/>
  <c r="V14" i="88"/>
  <c r="F18" i="88"/>
  <c r="V20" i="88"/>
  <c r="V21" i="88"/>
  <c r="F24" i="88"/>
  <c r="L12" i="91"/>
  <c r="F18" i="91"/>
  <c r="J19" i="91"/>
  <c r="F34" i="91"/>
  <c r="F46" i="91"/>
  <c r="F49" i="91"/>
  <c r="R50" i="91"/>
  <c r="J52" i="91"/>
  <c r="J65" i="91"/>
  <c r="X69" i="91"/>
  <c r="J74" i="91"/>
  <c r="R75" i="91"/>
  <c r="R85" i="91"/>
  <c r="R18" i="92"/>
  <c r="R22" i="92"/>
  <c r="V34" i="92"/>
  <c r="J40" i="92"/>
  <c r="N45" i="92"/>
  <c r="J52" i="92"/>
  <c r="J24" i="88"/>
  <c r="V40" i="91"/>
  <c r="V48" i="91"/>
  <c r="V56" i="91"/>
  <c r="F33" i="92"/>
  <c r="F37" i="92"/>
  <c r="Z50" i="92"/>
  <c r="F52" i="92"/>
  <c r="F53" i="92"/>
  <c r="F61" i="92"/>
  <c r="Z70" i="92"/>
  <c r="Z16" i="93"/>
  <c r="H19" i="93"/>
  <c r="L19" i="93" s="1"/>
  <c r="F22" i="93"/>
  <c r="F23" i="93"/>
  <c r="F27" i="93"/>
  <c r="F31" i="93"/>
  <c r="J32" i="93"/>
  <c r="V34" i="93"/>
  <c r="V38" i="93"/>
  <c r="V42" i="93"/>
  <c r="J48" i="93"/>
  <c r="N49" i="93"/>
  <c r="Z53" i="93"/>
  <c r="J55" i="93"/>
  <c r="V57" i="93"/>
  <c r="F64" i="93"/>
  <c r="F68" i="93"/>
  <c r="J69" i="93"/>
  <c r="V72" i="93"/>
  <c r="F76" i="93"/>
  <c r="L17" i="94"/>
  <c r="R18" i="94"/>
  <c r="Z23" i="94"/>
  <c r="J34" i="94"/>
  <c r="R44" i="94"/>
  <c r="F47" i="94"/>
  <c r="J51" i="94"/>
  <c r="F67" i="94"/>
  <c r="N25" i="95"/>
  <c r="Z26" i="95"/>
  <c r="J42" i="95"/>
  <c r="J48" i="95"/>
  <c r="V55" i="95"/>
  <c r="F41" i="92"/>
  <c r="F42" i="92"/>
  <c r="F66" i="92"/>
  <c r="J19" i="93"/>
  <c r="J21" i="93"/>
  <c r="J23" i="93"/>
  <c r="J27" i="93"/>
  <c r="J31" i="93"/>
  <c r="V43" i="93"/>
  <c r="J47" i="93"/>
  <c r="V50" i="93"/>
  <c r="V51" i="93"/>
  <c r="J64" i="93"/>
  <c r="V65" i="93"/>
  <c r="V70" i="93"/>
  <c r="J76" i="93"/>
  <c r="V81" i="93"/>
  <c r="F30" i="94"/>
  <c r="R31" i="94"/>
  <c r="R43" i="94"/>
  <c r="R52" i="94"/>
  <c r="V26" i="95"/>
  <c r="Z53" i="95"/>
  <c r="X53" i="95"/>
  <c r="V64" i="95"/>
  <c r="V66" i="95"/>
  <c r="V74" i="95"/>
  <c r="J22" i="93"/>
  <c r="J36" i="93"/>
  <c r="J40" i="93"/>
  <c r="J46" i="93"/>
  <c r="J60" i="93"/>
  <c r="V61" i="93"/>
  <c r="J68" i="93"/>
  <c r="F53" i="94"/>
  <c r="F52" i="94"/>
  <c r="F77" i="94"/>
  <c r="F82" i="94"/>
  <c r="F73" i="94"/>
  <c r="F57" i="94"/>
  <c r="F49" i="94"/>
  <c r="F48" i="94"/>
  <c r="F41" i="94"/>
  <c r="F37" i="94"/>
  <c r="F69" i="94"/>
  <c r="F58" i="94"/>
  <c r="F42" i="94"/>
  <c r="F38" i="94"/>
  <c r="F59" i="94"/>
  <c r="F65" i="94"/>
  <c r="F70" i="94"/>
  <c r="F60" i="94"/>
  <c r="F61" i="94"/>
  <c r="F79" i="94"/>
  <c r="F71" i="94"/>
  <c r="F62" i="94"/>
  <c r="F55" i="94"/>
  <c r="F40" i="94"/>
  <c r="F36" i="94"/>
  <c r="F23" i="94"/>
  <c r="F24" i="94"/>
  <c r="F27" i="94"/>
  <c r="F33" i="94"/>
  <c r="R37" i="94"/>
  <c r="F46" i="94"/>
  <c r="F54" i="94"/>
  <c r="R70" i="94"/>
  <c r="V34" i="95"/>
  <c r="V46" i="95"/>
  <c r="V48" i="95"/>
  <c r="V53" i="95"/>
  <c r="V63" i="95"/>
  <c r="V76" i="95"/>
  <c r="L83" i="95"/>
  <c r="N83" i="95" s="1"/>
  <c r="D18" i="92"/>
  <c r="F32" i="92"/>
  <c r="F36" i="92"/>
  <c r="F40" i="92"/>
  <c r="F59" i="92"/>
  <c r="F60" i="92"/>
  <c r="F65" i="93"/>
  <c r="F61" i="93"/>
  <c r="J17" i="93"/>
  <c r="F26" i="93"/>
  <c r="F30" i="93"/>
  <c r="V33" i="93"/>
  <c r="V37" i="93"/>
  <c r="V41" i="93"/>
  <c r="J54" i="93"/>
  <c r="F63" i="93"/>
  <c r="F74" i="93"/>
  <c r="V78" i="93"/>
  <c r="L13" i="94"/>
  <c r="F22" i="94"/>
  <c r="R34" i="94"/>
  <c r="F39" i="94"/>
  <c r="R47" i="94"/>
  <c r="L50" i="94"/>
  <c r="R51" i="94"/>
  <c r="L62" i="94"/>
  <c r="F64" i="94"/>
  <c r="R77" i="94"/>
  <c r="V42" i="95"/>
  <c r="V78" i="95"/>
  <c r="J83" i="95"/>
  <c r="J74" i="93"/>
  <c r="J72" i="93"/>
  <c r="J44" i="93"/>
  <c r="J16" i="93"/>
  <c r="J26" i="93"/>
  <c r="J30" i="93"/>
  <c r="J45" i="93"/>
  <c r="V49" i="93"/>
  <c r="J53" i="93"/>
  <c r="V55" i="93"/>
  <c r="V56" i="93"/>
  <c r="J59" i="93"/>
  <c r="J63" i="93"/>
  <c r="V69" i="93"/>
  <c r="D20" i="94"/>
  <c r="X52" i="94"/>
  <c r="L12" i="93"/>
  <c r="V23" i="93"/>
  <c r="V27" i="93"/>
  <c r="V31" i="93"/>
  <c r="J35" i="93"/>
  <c r="J39" i="93"/>
  <c r="J52" i="93"/>
  <c r="J58" i="93"/>
  <c r="V64" i="93"/>
  <c r="V76" i="93"/>
  <c r="F20" i="94"/>
  <c r="F26" i="94"/>
  <c r="R27" i="94"/>
  <c r="F29" i="94"/>
  <c r="R30" i="94"/>
  <c r="R42" i="94"/>
  <c r="F45" i="94"/>
  <c r="F66" i="94"/>
  <c r="V21" i="95"/>
  <c r="V25" i="95"/>
  <c r="V40" i="95"/>
  <c r="L58" i="95"/>
  <c r="P12" i="97"/>
  <c r="X13" i="97"/>
  <c r="J30" i="88"/>
  <c r="V14" i="91"/>
  <c r="V16" i="91"/>
  <c r="V18" i="91"/>
  <c r="V54" i="91"/>
  <c r="V58" i="91"/>
  <c r="V70" i="91"/>
  <c r="F30" i="92"/>
  <c r="F31" i="92"/>
  <c r="F35" i="92"/>
  <c r="F39" i="92"/>
  <c r="F47" i="92"/>
  <c r="F63" i="92"/>
  <c r="F76" i="92"/>
  <c r="F78" i="92"/>
  <c r="N12" i="93"/>
  <c r="T19" i="93"/>
  <c r="F25" i="93"/>
  <c r="F29" i="93"/>
  <c r="V32" i="93"/>
  <c r="V36" i="93"/>
  <c r="V40" i="93"/>
  <c r="V46" i="93"/>
  <c r="V60" i="93"/>
  <c r="F62" i="93"/>
  <c r="J66" i="93"/>
  <c r="J64" i="94"/>
  <c r="J54" i="94"/>
  <c r="J69" i="94"/>
  <c r="J50" i="94"/>
  <c r="J32" i="94"/>
  <c r="J28" i="94"/>
  <c r="J24" i="94"/>
  <c r="J22" i="94"/>
  <c r="J20" i="94"/>
  <c r="J59" i="94"/>
  <c r="J52" i="94"/>
  <c r="J70" i="94"/>
  <c r="J65" i="94"/>
  <c r="J60" i="94"/>
  <c r="J77" i="94"/>
  <c r="J53" i="94"/>
  <c r="J43" i="94"/>
  <c r="J39" i="94"/>
  <c r="J35" i="94"/>
  <c r="J66" i="94"/>
  <c r="J61" i="94"/>
  <c r="J79" i="94"/>
  <c r="J62" i="94"/>
  <c r="J45" i="94"/>
  <c r="J67" i="94"/>
  <c r="J63" i="94"/>
  <c r="J56" i="94"/>
  <c r="J47" i="94"/>
  <c r="J31" i="94"/>
  <c r="J27" i="94"/>
  <c r="H20" i="94"/>
  <c r="J26" i="94"/>
  <c r="J29" i="94"/>
  <c r="F32" i="94"/>
  <c r="R39" i="94"/>
  <c r="J41" i="94"/>
  <c r="J49" i="94"/>
  <c r="R50" i="94"/>
  <c r="F56" i="94"/>
  <c r="R64" i="94"/>
  <c r="J71" i="94"/>
  <c r="D12" i="95"/>
  <c r="V19" i="91"/>
  <c r="V23" i="91"/>
  <c r="V27" i="91"/>
  <c r="V43" i="91"/>
  <c r="V59" i="91"/>
  <c r="V63" i="91"/>
  <c r="F15" i="92"/>
  <c r="F16" i="92"/>
  <c r="F56" i="92"/>
  <c r="F68" i="92"/>
  <c r="V17" i="93"/>
  <c r="V19" i="93"/>
  <c r="V21" i="93"/>
  <c r="J25" i="93"/>
  <c r="J29" i="93"/>
  <c r="F34" i="93"/>
  <c r="F38" i="93"/>
  <c r="F42" i="93"/>
  <c r="J43" i="93"/>
  <c r="V47" i="93"/>
  <c r="J51" i="93"/>
  <c r="V54" i="93"/>
  <c r="X59" i="93"/>
  <c r="J62" i="93"/>
  <c r="F81" i="93"/>
  <c r="L12" i="94"/>
  <c r="X22" i="94"/>
  <c r="Z22" i="94" s="1"/>
  <c r="J38" i="94"/>
  <c r="F44" i="94"/>
  <c r="R46" i="94"/>
  <c r="J85" i="95"/>
  <c r="J75" i="95"/>
  <c r="J69" i="95"/>
  <c r="J61" i="95"/>
  <c r="J51" i="95"/>
  <c r="J21" i="95"/>
  <c r="J86" i="95"/>
  <c r="J91" i="95"/>
  <c r="J89" i="95"/>
  <c r="J81" i="95"/>
  <c r="J77" i="95"/>
  <c r="J65" i="95"/>
  <c r="J45" i="95"/>
  <c r="J41" i="95"/>
  <c r="J37" i="95"/>
  <c r="J93" i="95"/>
  <c r="J71" i="95"/>
  <c r="J55" i="95"/>
  <c r="J19" i="95"/>
  <c r="J74" i="95"/>
  <c r="J60" i="95"/>
  <c r="J50" i="95"/>
  <c r="J34" i="95"/>
  <c r="J30" i="95"/>
  <c r="J80" i="95"/>
  <c r="J58" i="95"/>
  <c r="J28" i="95"/>
  <c r="J67" i="95"/>
  <c r="J63" i="95"/>
  <c r="J53" i="95"/>
  <c r="J40" i="95"/>
  <c r="J72" i="95"/>
  <c r="J56" i="95"/>
  <c r="J43" i="95"/>
  <c r="J29" i="95"/>
  <c r="J18" i="95"/>
  <c r="J87" i="95"/>
  <c r="J70" i="95"/>
  <c r="J46" i="95"/>
  <c r="J76" i="95"/>
  <c r="J64" i="95"/>
  <c r="J38" i="95"/>
  <c r="J27" i="95"/>
  <c r="J79" i="95"/>
  <c r="J73" i="95"/>
  <c r="J68" i="95"/>
  <c r="J54" i="95"/>
  <c r="J47" i="95"/>
  <c r="J44" i="95"/>
  <c r="J35" i="95"/>
  <c r="J23" i="95"/>
  <c r="L47" i="95"/>
  <c r="N47" i="95" s="1"/>
  <c r="J84" i="95"/>
  <c r="V68" i="93"/>
  <c r="V48" i="93"/>
  <c r="V22" i="93"/>
  <c r="V26" i="93"/>
  <c r="V30" i="93"/>
  <c r="J34" i="93"/>
  <c r="J38" i="93"/>
  <c r="J42" i="93"/>
  <c r="V63" i="93"/>
  <c r="J81" i="93"/>
  <c r="F18" i="94"/>
  <c r="R22" i="94"/>
  <c r="R23" i="94"/>
  <c r="F35" i="94"/>
  <c r="R45" i="94"/>
  <c r="R49" i="94"/>
  <c r="F68" i="94"/>
  <c r="F75" i="94"/>
  <c r="V81" i="95"/>
  <c r="V77" i="95"/>
  <c r="V65" i="95"/>
  <c r="V45" i="95"/>
  <c r="V41" i="95"/>
  <c r="V37" i="95"/>
  <c r="V73" i="95"/>
  <c r="V57" i="95"/>
  <c r="V49" i="95"/>
  <c r="V33" i="95"/>
  <c r="V29" i="95"/>
  <c r="V79" i="95"/>
  <c r="V75" i="95"/>
  <c r="V59" i="95"/>
  <c r="V51" i="95"/>
  <c r="V43" i="95"/>
  <c r="V39" i="95"/>
  <c r="V86" i="95"/>
  <c r="V70" i="95"/>
  <c r="V54" i="95"/>
  <c r="V18" i="95"/>
  <c r="V84" i="95"/>
  <c r="V60" i="95"/>
  <c r="V31" i="95"/>
  <c r="V87" i="95"/>
  <c r="V50" i="95"/>
  <c r="V47" i="95"/>
  <c r="V38" i="95"/>
  <c r="V68" i="95"/>
  <c r="V32" i="95"/>
  <c r="V27" i="95"/>
  <c r="V85" i="95"/>
  <c r="V82" i="95"/>
  <c r="V61" i="95"/>
  <c r="V44" i="95"/>
  <c r="V23" i="95"/>
  <c r="V19" i="95"/>
  <c r="V89" i="95"/>
  <c r="V83" i="95"/>
  <c r="V58" i="95"/>
  <c r="V36" i="95"/>
  <c r="V35" i="95"/>
  <c r="T23" i="95"/>
  <c r="V62" i="95"/>
  <c r="V30" i="95"/>
  <c r="V52" i="95"/>
  <c r="V56" i="95"/>
  <c r="V69" i="95"/>
  <c r="V35" i="93"/>
  <c r="V39" i="93"/>
  <c r="V44" i="93"/>
  <c r="V45" i="93"/>
  <c r="J50" i="93"/>
  <c r="V52" i="93"/>
  <c r="J57" i="93"/>
  <c r="V58" i="93"/>
  <c r="J65" i="93"/>
  <c r="J70" i="93"/>
  <c r="R66" i="94"/>
  <c r="R65" i="94"/>
  <c r="R58" i="94"/>
  <c r="R57" i="94"/>
  <c r="R68" i="94"/>
  <c r="R67" i="94"/>
  <c r="R73" i="94"/>
  <c r="R69" i="94"/>
  <c r="R60" i="94"/>
  <c r="R59" i="94"/>
  <c r="R29" i="94"/>
  <c r="R25" i="94"/>
  <c r="R62" i="94"/>
  <c r="R61" i="94"/>
  <c r="R54" i="94"/>
  <c r="R71" i="94"/>
  <c r="R55" i="94"/>
  <c r="R40" i="94"/>
  <c r="R36" i="94"/>
  <c r="R17" i="94"/>
  <c r="R63" i="94"/>
  <c r="R56" i="94"/>
  <c r="R48" i="94"/>
  <c r="R33" i="94"/>
  <c r="R32" i="94"/>
  <c r="R28" i="94"/>
  <c r="R24" i="94"/>
  <c r="F17" i="94"/>
  <c r="P20" i="94"/>
  <c r="F25" i="94"/>
  <c r="R26" i="94"/>
  <c r="R41" i="94"/>
  <c r="F63" i="94"/>
  <c r="H91" i="95"/>
  <c r="V28" i="95"/>
  <c r="J24" i="93"/>
  <c r="J28" i="93"/>
  <c r="J49" i="93"/>
  <c r="V53" i="93"/>
  <c r="V59" i="93"/>
  <c r="J61" i="93"/>
  <c r="V66" i="93"/>
  <c r="V74" i="93"/>
  <c r="J78" i="93"/>
  <c r="R20" i="94"/>
  <c r="F28" i="94"/>
  <c r="F31" i="94"/>
  <c r="R38" i="94"/>
  <c r="F43" i="94"/>
  <c r="V67" i="95"/>
  <c r="Z75" i="95"/>
  <c r="X75" i="95"/>
  <c r="F24" i="92"/>
  <c r="F28" i="92"/>
  <c r="F43" i="92"/>
  <c r="F44" i="92"/>
  <c r="F19" i="93"/>
  <c r="F21" i="93"/>
  <c r="V25" i="93"/>
  <c r="V29" i="93"/>
  <c r="J33" i="93"/>
  <c r="J37" i="93"/>
  <c r="J41" i="93"/>
  <c r="F47" i="93"/>
  <c r="F48" i="93"/>
  <c r="F55" i="93"/>
  <c r="J56" i="93"/>
  <c r="V62" i="93"/>
  <c r="F69" i="93"/>
  <c r="X12" i="94"/>
  <c r="T75" i="94"/>
  <c r="F34" i="94"/>
  <c r="R35" i="94"/>
  <c r="F51" i="94"/>
  <c r="V20" i="95"/>
  <c r="Z62" i="95"/>
  <c r="V72" i="95"/>
  <c r="V80" i="95"/>
  <c r="V93" i="95"/>
  <c r="V64" i="94"/>
  <c r="Z25" i="95"/>
  <c r="J16" i="97"/>
  <c r="X31" i="97"/>
  <c r="J52" i="97"/>
  <c r="V74" i="97"/>
  <c r="Z81" i="97"/>
  <c r="X81" i="97"/>
  <c r="Z41" i="99"/>
  <c r="X41" i="99"/>
  <c r="Z83" i="95"/>
  <c r="J34" i="97"/>
  <c r="J54" i="97"/>
  <c r="Z16" i="98"/>
  <c r="J56" i="99"/>
  <c r="J36" i="99"/>
  <c r="J32" i="99"/>
  <c r="J43" i="99"/>
  <c r="J27" i="99"/>
  <c r="J23" i="99"/>
  <c r="J49" i="99"/>
  <c r="J39" i="99"/>
  <c r="J25" i="99"/>
  <c r="J21" i="99"/>
  <c r="J58" i="99"/>
  <c r="J30" i="99"/>
  <c r="J24" i="99"/>
  <c r="N12" i="99"/>
  <c r="J48" i="99"/>
  <c r="J40" i="99"/>
  <c r="J41" i="99"/>
  <c r="J28" i="99"/>
  <c r="J54" i="99"/>
  <c r="J37" i="99"/>
  <c r="J31" i="99"/>
  <c r="J22" i="99"/>
  <c r="J19" i="99"/>
  <c r="J61" i="99"/>
  <c r="J45" i="99"/>
  <c r="J34" i="99"/>
  <c r="J18" i="99"/>
  <c r="J16" i="99"/>
  <c r="J14" i="99"/>
  <c r="J42" i="99"/>
  <c r="H16" i="99"/>
  <c r="J29" i="99"/>
  <c r="J20" i="99"/>
  <c r="J46" i="99"/>
  <c r="J35" i="99"/>
  <c r="J51" i="99"/>
  <c r="J38" i="99"/>
  <c r="J26" i="99"/>
  <c r="J52" i="99"/>
  <c r="J44" i="99"/>
  <c r="J33" i="99"/>
  <c r="Z16" i="97"/>
  <c r="X16" i="97"/>
  <c r="J38" i="97"/>
  <c r="Z46" i="97"/>
  <c r="V63" i="94"/>
  <c r="L66" i="94"/>
  <c r="Z51" i="95"/>
  <c r="F77" i="97"/>
  <c r="F61" i="97"/>
  <c r="F45" i="97"/>
  <c r="F44" i="97"/>
  <c r="F29" i="97"/>
  <c r="F25" i="97"/>
  <c r="F72" i="97"/>
  <c r="F68" i="97"/>
  <c r="F56" i="97"/>
  <c r="F55" i="97"/>
  <c r="L12" i="97"/>
  <c r="F82" i="97"/>
  <c r="F73" i="97"/>
  <c r="F69" i="97"/>
  <c r="F65" i="97"/>
  <c r="F64" i="97"/>
  <c r="F57" i="97"/>
  <c r="F17" i="97"/>
  <c r="F16" i="97"/>
  <c r="F81" i="97"/>
  <c r="F48" i="97"/>
  <c r="F40" i="97"/>
  <c r="F36" i="97"/>
  <c r="F32" i="97"/>
  <c r="F31" i="97"/>
  <c r="F84" i="97"/>
  <c r="F27" i="97"/>
  <c r="F23" i="97"/>
  <c r="F22" i="97"/>
  <c r="F86" i="97"/>
  <c r="F74" i="97"/>
  <c r="F70" i="97"/>
  <c r="F66" i="97"/>
  <c r="F58" i="97"/>
  <c r="F50" i="97"/>
  <c r="F49" i="97"/>
  <c r="F21" i="97"/>
  <c r="F19" i="97"/>
  <c r="F76" i="97"/>
  <c r="F75" i="97"/>
  <c r="F60" i="97"/>
  <c r="F59" i="97"/>
  <c r="F52" i="97"/>
  <c r="F51" i="97"/>
  <c r="F54" i="97"/>
  <c r="F53" i="97"/>
  <c r="F38" i="97"/>
  <c r="F34" i="97"/>
  <c r="F24" i="97"/>
  <c r="F42" i="97"/>
  <c r="F88" i="97"/>
  <c r="V61" i="99"/>
  <c r="V58" i="99"/>
  <c r="V56" i="99"/>
  <c r="V44" i="99"/>
  <c r="V48" i="99"/>
  <c r="V47" i="99"/>
  <c r="V39" i="99"/>
  <c r="V37" i="99"/>
  <c r="V34" i="99"/>
  <c r="V22" i="99"/>
  <c r="V49" i="99"/>
  <c r="V25" i="99"/>
  <c r="V46" i="99"/>
  <c r="V45" i="99"/>
  <c r="V42" i="99"/>
  <c r="V35" i="99"/>
  <c r="V20" i="99"/>
  <c r="V51" i="99"/>
  <c r="V38" i="99"/>
  <c r="V32" i="99"/>
  <c r="V29" i="99"/>
  <c r="V23" i="99"/>
  <c r="V26" i="99"/>
  <c r="V43" i="99"/>
  <c r="V52" i="99"/>
  <c r="V21" i="99"/>
  <c r="V36" i="99"/>
  <c r="V33" i="99"/>
  <c r="V30" i="99"/>
  <c r="Z12" i="99"/>
  <c r="V41" i="99"/>
  <c r="V40" i="99"/>
  <c r="V27" i="99"/>
  <c r="V24" i="99"/>
  <c r="X12" i="99"/>
  <c r="V54" i="99"/>
  <c r="V31" i="99"/>
  <c r="T16" i="99"/>
  <c r="X16" i="99" s="1"/>
  <c r="J47" i="99"/>
  <c r="F27" i="102"/>
  <c r="P12" i="95"/>
  <c r="Z47" i="95"/>
  <c r="N53" i="95"/>
  <c r="N67" i="95"/>
  <c r="L75" i="95"/>
  <c r="N75" i="95" s="1"/>
  <c r="J78" i="97"/>
  <c r="J72" i="97"/>
  <c r="J68" i="97"/>
  <c r="J62" i="97"/>
  <c r="J56" i="97"/>
  <c r="J46" i="97"/>
  <c r="N12" i="97"/>
  <c r="J79" i="97"/>
  <c r="J63" i="97"/>
  <c r="J47" i="97"/>
  <c r="J39" i="97"/>
  <c r="J35" i="97"/>
  <c r="J82" i="97"/>
  <c r="J81" i="97"/>
  <c r="J73" i="97"/>
  <c r="J69" i="97"/>
  <c r="J65" i="97"/>
  <c r="J57" i="97"/>
  <c r="J84" i="97"/>
  <c r="J48" i="97"/>
  <c r="J40" i="97"/>
  <c r="J36" i="97"/>
  <c r="J32" i="97"/>
  <c r="J22" i="97"/>
  <c r="J49" i="97"/>
  <c r="J27" i="97"/>
  <c r="J23" i="97"/>
  <c r="J21" i="97"/>
  <c r="J19" i="97"/>
  <c r="J86" i="97"/>
  <c r="J74" i="97"/>
  <c r="J70" i="97"/>
  <c r="J66" i="97"/>
  <c r="J58" i="97"/>
  <c r="J50" i="97"/>
  <c r="H19" i="97"/>
  <c r="J75" i="97"/>
  <c r="J59" i="97"/>
  <c r="J51" i="97"/>
  <c r="J41" i="97"/>
  <c r="J37" i="97"/>
  <c r="J33" i="97"/>
  <c r="J91" i="97"/>
  <c r="J88" i="97"/>
  <c r="J76" i="97"/>
  <c r="J60" i="97"/>
  <c r="J71" i="97"/>
  <c r="J67" i="97"/>
  <c r="J53" i="97"/>
  <c r="J43" i="97"/>
  <c r="J77" i="97"/>
  <c r="J61" i="97"/>
  <c r="J55" i="97"/>
  <c r="J45" i="97"/>
  <c r="J29" i="97"/>
  <c r="J25" i="97"/>
  <c r="J24" i="97"/>
  <c r="D36" i="101"/>
  <c r="L16" i="101"/>
  <c r="X13" i="95"/>
  <c r="Z13" i="95" s="1"/>
  <c r="L26" i="95"/>
  <c r="N26" i="95" s="1"/>
  <c r="V48" i="97"/>
  <c r="V40" i="97"/>
  <c r="V36" i="97"/>
  <c r="V32" i="97"/>
  <c r="T19" i="97"/>
  <c r="V75" i="97"/>
  <c r="V59" i="97"/>
  <c r="V51" i="97"/>
  <c r="V27" i="97"/>
  <c r="V23" i="97"/>
  <c r="V53" i="97"/>
  <c r="V41" i="97"/>
  <c r="V37" i="97"/>
  <c r="V76" i="97"/>
  <c r="V60" i="97"/>
  <c r="V52" i="97"/>
  <c r="V44" i="97"/>
  <c r="V28" i="97"/>
  <c r="V24" i="97"/>
  <c r="V71" i="97"/>
  <c r="V67" i="97"/>
  <c r="V55" i="97"/>
  <c r="V43" i="97"/>
  <c r="V78" i="97"/>
  <c r="V62" i="97"/>
  <c r="V54" i="97"/>
  <c r="V46" i="97"/>
  <c r="V38" i="97"/>
  <c r="V34" i="97"/>
  <c r="V77" i="97"/>
  <c r="V61" i="97"/>
  <c r="V45" i="97"/>
  <c r="V29" i="97"/>
  <c r="V25" i="97"/>
  <c r="V72" i="97"/>
  <c r="V68" i="97"/>
  <c r="V64" i="97"/>
  <c r="V81" i="97"/>
  <c r="V79" i="97"/>
  <c r="V63" i="97"/>
  <c r="V47" i="97"/>
  <c r="V39" i="97"/>
  <c r="V73" i="97"/>
  <c r="V69" i="97"/>
  <c r="V65" i="97"/>
  <c r="V57" i="97"/>
  <c r="V49" i="97"/>
  <c r="V21" i="97"/>
  <c r="V19" i="97"/>
  <c r="V17" i="97"/>
  <c r="J17" i="97"/>
  <c r="V22" i="97"/>
  <c r="J26" i="97"/>
  <c r="J31" i="97"/>
  <c r="J42" i="97"/>
  <c r="V56" i="97"/>
  <c r="F71" i="97"/>
  <c r="X75" i="97"/>
  <c r="V82" i="97"/>
  <c r="F91" i="97"/>
  <c r="Z44" i="99"/>
  <c r="L51" i="97"/>
  <c r="Z14" i="102"/>
  <c r="T16" i="102"/>
  <c r="X14" i="102"/>
  <c r="V68" i="94"/>
  <c r="V60" i="94"/>
  <c r="V70" i="94"/>
  <c r="V44" i="94"/>
  <c r="Z56" i="95"/>
  <c r="N62" i="95"/>
  <c r="Z67" i="95"/>
  <c r="N86" i="95"/>
  <c r="V26" i="97"/>
  <c r="J30" i="97"/>
  <c r="F37" i="97"/>
  <c r="F39" i="97"/>
  <c r="F41" i="97"/>
  <c r="V42" i="97"/>
  <c r="X51" i="97"/>
  <c r="X16" i="98"/>
  <c r="P22" i="98"/>
  <c r="Z26" i="98"/>
  <c r="T29" i="98"/>
  <c r="Z29" i="98" s="1"/>
  <c r="Z22" i="98"/>
  <c r="N16" i="97"/>
  <c r="L16" i="97"/>
  <c r="D84" i="97"/>
  <c r="N39" i="99"/>
  <c r="L39" i="99"/>
  <c r="F54" i="102"/>
  <c r="F52" i="102"/>
  <c r="F45" i="102"/>
  <c r="F44" i="102"/>
  <c r="F25" i="102"/>
  <c r="F48" i="102"/>
  <c r="F47" i="102"/>
  <c r="F36" i="102"/>
  <c r="F32" i="102"/>
  <c r="F61" i="102"/>
  <c r="F28" i="102"/>
  <c r="F22" i="102"/>
  <c r="F30" i="102"/>
  <c r="F26" i="102"/>
  <c r="F23" i="102"/>
  <c r="F20" i="102"/>
  <c r="F18" i="102"/>
  <c r="F16" i="102"/>
  <c r="F14" i="102"/>
  <c r="F56" i="102"/>
  <c r="F49" i="102"/>
  <c r="F37" i="102"/>
  <c r="D16" i="102"/>
  <c r="F42" i="102"/>
  <c r="F34" i="102"/>
  <c r="F39" i="102"/>
  <c r="L12" i="102"/>
  <c r="F19" i="102"/>
  <c r="F58" i="102"/>
  <c r="F35" i="102"/>
  <c r="F40" i="102"/>
  <c r="F50" i="102"/>
  <c r="F33" i="102"/>
  <c r="F24" i="102"/>
  <c r="F43" i="102"/>
  <c r="F38" i="102"/>
  <c r="F41" i="102"/>
  <c r="F31" i="102"/>
  <c r="F46" i="102"/>
  <c r="H16" i="98"/>
  <c r="R46" i="99"/>
  <c r="R45" i="99"/>
  <c r="R37" i="99"/>
  <c r="R33" i="99"/>
  <c r="R29" i="99"/>
  <c r="R24" i="99"/>
  <c r="R20" i="99"/>
  <c r="R42" i="99"/>
  <c r="R26" i="99"/>
  <c r="R22" i="99"/>
  <c r="Z19" i="99"/>
  <c r="F21" i="99"/>
  <c r="F39" i="99"/>
  <c r="R41" i="99"/>
  <c r="F47" i="99"/>
  <c r="N14" i="100"/>
  <c r="N19" i="101"/>
  <c r="Z27" i="101"/>
  <c r="J29" i="101"/>
  <c r="L34" i="101"/>
  <c r="J38" i="101"/>
  <c r="R14" i="102"/>
  <c r="N18" i="102"/>
  <c r="R37" i="102"/>
  <c r="R40" i="102"/>
  <c r="R42" i="102"/>
  <c r="F26" i="99"/>
  <c r="F46" i="99"/>
  <c r="L12" i="100"/>
  <c r="F22" i="100"/>
  <c r="F21" i="100"/>
  <c r="D16" i="100"/>
  <c r="F18" i="100"/>
  <c r="J16" i="101"/>
  <c r="R19" i="102"/>
  <c r="R23" i="102"/>
  <c r="R25" i="102"/>
  <c r="L29" i="102"/>
  <c r="N29" i="102" s="1"/>
  <c r="R32" i="102"/>
  <c r="Z48" i="103"/>
  <c r="F23" i="99"/>
  <c r="F35" i="99"/>
  <c r="J24" i="100"/>
  <c r="J30" i="100"/>
  <c r="J28" i="100"/>
  <c r="N12" i="100"/>
  <c r="J23" i="100"/>
  <c r="J19" i="100"/>
  <c r="J34" i="100"/>
  <c r="R39" i="102"/>
  <c r="L42" i="97"/>
  <c r="X64" i="97"/>
  <c r="L12" i="98"/>
  <c r="D16" i="99"/>
  <c r="F20" i="99"/>
  <c r="F29" i="99"/>
  <c r="P51" i="99"/>
  <c r="X51" i="99" s="1"/>
  <c r="R30" i="100"/>
  <c r="R28" i="100"/>
  <c r="R37" i="100"/>
  <c r="R34" i="100"/>
  <c r="R18" i="100"/>
  <c r="R16" i="100"/>
  <c r="R14" i="100"/>
  <c r="R21" i="100"/>
  <c r="R20" i="100"/>
  <c r="P16" i="100"/>
  <c r="R26" i="100"/>
  <c r="X14" i="100"/>
  <c r="J18" i="100"/>
  <c r="L19" i="100"/>
  <c r="N19" i="100" s="1"/>
  <c r="J22" i="100"/>
  <c r="F26" i="100"/>
  <c r="J21" i="101"/>
  <c r="J24" i="101"/>
  <c r="J28" i="101"/>
  <c r="R41" i="102"/>
  <c r="R29" i="102"/>
  <c r="R28" i="102"/>
  <c r="R24" i="102"/>
  <c r="R20" i="102"/>
  <c r="R49" i="102"/>
  <c r="R30" i="102"/>
  <c r="R50" i="102"/>
  <c r="R46" i="102"/>
  <c r="R38" i="102"/>
  <c r="R21" i="102"/>
  <c r="R58" i="102"/>
  <c r="R35" i="102"/>
  <c r="R27" i="102"/>
  <c r="R52" i="102"/>
  <c r="R47" i="102"/>
  <c r="R43" i="102"/>
  <c r="R45" i="102"/>
  <c r="R33" i="102"/>
  <c r="P16" i="102"/>
  <c r="H16" i="102"/>
  <c r="R18" i="102"/>
  <c r="R34" i="102"/>
  <c r="R56" i="102"/>
  <c r="R61" i="102"/>
  <c r="N12" i="98"/>
  <c r="R14" i="98"/>
  <c r="R16" i="98"/>
  <c r="R18" i="98"/>
  <c r="R20" i="98"/>
  <c r="F14" i="99"/>
  <c r="F16" i="99"/>
  <c r="F18" i="99"/>
  <c r="R39" i="99"/>
  <c r="F42" i="99"/>
  <c r="L46" i="99"/>
  <c r="N46" i="99" s="1"/>
  <c r="R51" i="99"/>
  <c r="R56" i="99"/>
  <c r="F61" i="99"/>
  <c r="Z12" i="100"/>
  <c r="V20" i="100"/>
  <c r="V23" i="100"/>
  <c r="F16" i="100"/>
  <c r="L18" i="100"/>
  <c r="N18" i="100" s="1"/>
  <c r="J26" i="100"/>
  <c r="F32" i="100"/>
  <c r="J14" i="101"/>
  <c r="P16" i="101"/>
  <c r="V46" i="102"/>
  <c r="V48" i="102"/>
  <c r="V36" i="102"/>
  <c r="V32" i="102"/>
  <c r="V43" i="102"/>
  <c r="V37" i="102"/>
  <c r="V26" i="102"/>
  <c r="V23" i="102"/>
  <c r="V20" i="102"/>
  <c r="V58" i="102"/>
  <c r="V52" i="102"/>
  <c r="V47" i="102"/>
  <c r="V35" i="102"/>
  <c r="V27" i="102"/>
  <c r="V24" i="102"/>
  <c r="V61" i="102"/>
  <c r="V44" i="102"/>
  <c r="V40" i="102"/>
  <c r="V39" i="102"/>
  <c r="Z12" i="102"/>
  <c r="V30" i="102"/>
  <c r="X19" i="102"/>
  <c r="Z19" i="102" s="1"/>
  <c r="Z29" i="102"/>
  <c r="V34" i="102"/>
  <c r="V56" i="102"/>
  <c r="Z84" i="105"/>
  <c r="V84" i="105"/>
  <c r="X84" i="105"/>
  <c r="F19" i="99"/>
  <c r="F25" i="99"/>
  <c r="L28" i="99"/>
  <c r="N28" i="99" s="1"/>
  <c r="F45" i="99"/>
  <c r="X12" i="100"/>
  <c r="H16" i="100"/>
  <c r="R19" i="100"/>
  <c r="R23" i="100"/>
  <c r="J32" i="100"/>
  <c r="X29" i="101"/>
  <c r="X12" i="102"/>
  <c r="R36" i="102"/>
  <c r="R48" i="102"/>
  <c r="Z58" i="105"/>
  <c r="V14" i="98"/>
  <c r="V16" i="98"/>
  <c r="V18" i="98"/>
  <c r="V20" i="98"/>
  <c r="F26" i="98"/>
  <c r="F29" i="98"/>
  <c r="N19" i="99"/>
  <c r="F22" i="99"/>
  <c r="F28" i="99"/>
  <c r="F31" i="99"/>
  <c r="R35" i="99"/>
  <c r="F37" i="99"/>
  <c r="J16" i="100"/>
  <c r="X19" i="100"/>
  <c r="Z19" i="100"/>
  <c r="J21" i="100"/>
  <c r="R22" i="100"/>
  <c r="F25" i="100"/>
  <c r="V34" i="100"/>
  <c r="F18" i="101"/>
  <c r="F16" i="101"/>
  <c r="F14" i="101"/>
  <c r="F30" i="101"/>
  <c r="F29" i="101"/>
  <c r="F22" i="101"/>
  <c r="F38" i="101"/>
  <c r="F24" i="101"/>
  <c r="F20" i="101"/>
  <c r="F19" i="101"/>
  <c r="J20" i="101"/>
  <c r="F23" i="101"/>
  <c r="F27" i="101"/>
  <c r="R16" i="102"/>
  <c r="X18" i="102"/>
  <c r="Z18" i="102" s="1"/>
  <c r="R31" i="102"/>
  <c r="Z58" i="103"/>
  <c r="F49" i="99"/>
  <c r="F48" i="99"/>
  <c r="F54" i="99"/>
  <c r="F56" i="99"/>
  <c r="F36" i="99"/>
  <c r="F32" i="99"/>
  <c r="F38" i="99"/>
  <c r="F34" i="99"/>
  <c r="F30" i="99"/>
  <c r="L25" i="100"/>
  <c r="N25" i="100"/>
  <c r="J43" i="101"/>
  <c r="J40" i="101"/>
  <c r="J26" i="101"/>
  <c r="J30" i="101"/>
  <c r="J22" i="101"/>
  <c r="J31" i="101"/>
  <c r="J32" i="101"/>
  <c r="J25" i="101"/>
  <c r="H16" i="101"/>
  <c r="J23" i="101"/>
  <c r="L27" i="101"/>
  <c r="N27" i="101"/>
  <c r="N25" i="103"/>
  <c r="L25" i="103"/>
  <c r="J25" i="103"/>
  <c r="F58" i="99"/>
  <c r="F37" i="100"/>
  <c r="J27" i="101"/>
  <c r="R26" i="102"/>
  <c r="Z54" i="105"/>
  <c r="X54" i="105"/>
  <c r="V54" i="105"/>
  <c r="X42" i="97"/>
  <c r="L64" i="97"/>
  <c r="D16" i="98"/>
  <c r="F24" i="98"/>
  <c r="L12" i="99"/>
  <c r="F24" i="99"/>
  <c r="F27" i="99"/>
  <c r="L41" i="99"/>
  <c r="F44" i="99"/>
  <c r="X46" i="99"/>
  <c r="Z46" i="99" s="1"/>
  <c r="L52" i="99"/>
  <c r="D51" i="99"/>
  <c r="L51" i="99" s="1"/>
  <c r="J14" i="100"/>
  <c r="T16" i="100"/>
  <c r="X18" i="100"/>
  <c r="Z18" i="100" s="1"/>
  <c r="F20" i="100"/>
  <c r="F24" i="100"/>
  <c r="F30" i="100"/>
  <c r="N12" i="101"/>
  <c r="J19" i="101"/>
  <c r="L14" i="102"/>
  <c r="V81" i="103"/>
  <c r="V77" i="103"/>
  <c r="V79" i="103"/>
  <c r="V75" i="103"/>
  <c r="V83" i="103"/>
  <c r="V82" i="103"/>
  <c r="V72" i="103"/>
  <c r="V68" i="103"/>
  <c r="V60" i="103"/>
  <c r="V48" i="103"/>
  <c r="V20" i="103"/>
  <c r="V76" i="103"/>
  <c r="V62" i="103"/>
  <c r="V50" i="103"/>
  <c r="V34" i="103"/>
  <c r="V30" i="103"/>
  <c r="V26" i="103"/>
  <c r="V65" i="103"/>
  <c r="V53" i="103"/>
  <c r="V45" i="103"/>
  <c r="V41" i="103"/>
  <c r="V37" i="103"/>
  <c r="V57" i="103"/>
  <c r="V42" i="103"/>
  <c r="V39" i="103"/>
  <c r="V21" i="103"/>
  <c r="V58" i="103"/>
  <c r="V49" i="103"/>
  <c r="V33" i="103"/>
  <c r="V70" i="103"/>
  <c r="V54" i="103"/>
  <c r="V80" i="103"/>
  <c r="V78" i="103"/>
  <c r="V67" i="103"/>
  <c r="V40" i="103"/>
  <c r="V36" i="103"/>
  <c r="V28" i="103"/>
  <c r="T23" i="103"/>
  <c r="V23" i="103" s="1"/>
  <c r="V19" i="103"/>
  <c r="V64" i="103"/>
  <c r="V63" i="103"/>
  <c r="V46" i="103"/>
  <c r="V43" i="103"/>
  <c r="V25" i="103"/>
  <c r="V59" i="103"/>
  <c r="V31" i="103"/>
  <c r="V73" i="103"/>
  <c r="V55" i="103"/>
  <c r="V74" i="103"/>
  <c r="V71" i="103"/>
  <c r="V56" i="103"/>
  <c r="V52" i="103"/>
  <c r="V51" i="103"/>
  <c r="V44" i="103"/>
  <c r="V29" i="103"/>
  <c r="V47" i="103"/>
  <c r="V38" i="103"/>
  <c r="V84" i="103"/>
  <c r="V69" i="103"/>
  <c r="V32" i="103"/>
  <c r="V90" i="103"/>
  <c r="V86" i="103"/>
  <c r="V66" i="103"/>
  <c r="V35" i="103"/>
  <c r="V27" i="103"/>
  <c r="V18" i="103"/>
  <c r="F14" i="98"/>
  <c r="F16" i="98"/>
  <c r="F18" i="98"/>
  <c r="F20" i="98"/>
  <c r="R14" i="99"/>
  <c r="R16" i="99"/>
  <c r="R18" i="99"/>
  <c r="R19" i="99"/>
  <c r="R28" i="99"/>
  <c r="R31" i="99"/>
  <c r="F33" i="99"/>
  <c r="N44" i="99"/>
  <c r="F52" i="99"/>
  <c r="V16" i="100"/>
  <c r="J20" i="100"/>
  <c r="R25" i="100"/>
  <c r="J37" i="100"/>
  <c r="J18" i="101"/>
  <c r="J34" i="101"/>
  <c r="N19" i="102"/>
  <c r="L19" i="102"/>
  <c r="X40" i="102"/>
  <c r="Z40" i="102" s="1"/>
  <c r="L44" i="102"/>
  <c r="N44" i="102" s="1"/>
  <c r="R54" i="102"/>
  <c r="V61" i="103"/>
  <c r="R28" i="101"/>
  <c r="R29" i="101"/>
  <c r="V31" i="101"/>
  <c r="J22" i="102"/>
  <c r="J28" i="102"/>
  <c r="J40" i="102"/>
  <c r="P12" i="103"/>
  <c r="F25" i="103"/>
  <c r="F29" i="103"/>
  <c r="F51" i="103"/>
  <c r="N52" i="103"/>
  <c r="Z62" i="103"/>
  <c r="L14" i="104"/>
  <c r="D16" i="104"/>
  <c r="Z52" i="105"/>
  <c r="F23" i="103"/>
  <c r="F31" i="103"/>
  <c r="F59" i="103"/>
  <c r="T96" i="105"/>
  <c r="H88" i="103"/>
  <c r="F40" i="103"/>
  <c r="F43" i="103"/>
  <c r="F46" i="103"/>
  <c r="F50" i="103"/>
  <c r="Z52" i="103"/>
  <c r="F63" i="103"/>
  <c r="F76" i="103"/>
  <c r="F80" i="103"/>
  <c r="Z64" i="105"/>
  <c r="F28" i="103"/>
  <c r="F36" i="103"/>
  <c r="F58" i="103"/>
  <c r="J83" i="103"/>
  <c r="P24" i="104"/>
  <c r="Z26" i="103"/>
  <c r="J50" i="103"/>
  <c r="X52" i="103"/>
  <c r="X74" i="103"/>
  <c r="Z74" i="103" s="1"/>
  <c r="L83" i="103"/>
  <c r="N83" i="103" s="1"/>
  <c r="F86" i="103"/>
  <c r="P12" i="105"/>
  <c r="V66" i="105"/>
  <c r="T16" i="101"/>
  <c r="R19" i="101"/>
  <c r="V25" i="101"/>
  <c r="J34" i="102"/>
  <c r="J42" i="102"/>
  <c r="F33" i="103"/>
  <c r="F49" i="103"/>
  <c r="J58" i="103"/>
  <c r="F62" i="103"/>
  <c r="Z64" i="103"/>
  <c r="F82" i="103"/>
  <c r="J31" i="104"/>
  <c r="J28" i="104"/>
  <c r="H16" i="104"/>
  <c r="J19" i="104"/>
  <c r="L12" i="104"/>
  <c r="J14" i="104"/>
  <c r="J18" i="104"/>
  <c r="J48" i="105"/>
  <c r="X66" i="105"/>
  <c r="Z66" i="105" s="1"/>
  <c r="V14" i="101"/>
  <c r="V16" i="101"/>
  <c r="V18" i="101"/>
  <c r="R34" i="101"/>
  <c r="F21" i="103"/>
  <c r="F39" i="103"/>
  <c r="F42" i="103"/>
  <c r="F57" i="103"/>
  <c r="L58" i="103"/>
  <c r="N58" i="103" s="1"/>
  <c r="Z83" i="103"/>
  <c r="L48" i="105"/>
  <c r="N48" i="105" s="1"/>
  <c r="F27" i="103"/>
  <c r="F35" i="103"/>
  <c r="F48" i="103"/>
  <c r="L18" i="105"/>
  <c r="N18" i="105"/>
  <c r="F79" i="103"/>
  <c r="F75" i="103"/>
  <c r="F74" i="103"/>
  <c r="F72" i="103"/>
  <c r="F65" i="103"/>
  <c r="F64" i="103"/>
  <c r="F53" i="103"/>
  <c r="F52" i="103"/>
  <c r="F45" i="103"/>
  <c r="F41" i="103"/>
  <c r="D23" i="103"/>
  <c r="F78" i="103"/>
  <c r="F67" i="103"/>
  <c r="F66" i="103"/>
  <c r="F55" i="103"/>
  <c r="F54" i="103"/>
  <c r="F19" i="103"/>
  <c r="F18" i="103"/>
  <c r="F83" i="103"/>
  <c r="F70" i="103"/>
  <c r="F69" i="103"/>
  <c r="F34" i="103"/>
  <c r="F30" i="103"/>
  <c r="Z50" i="103"/>
  <c r="F61" i="103"/>
  <c r="F77" i="103"/>
  <c r="F32" i="103"/>
  <c r="X50" i="103"/>
  <c r="F56" i="103"/>
  <c r="F84" i="103"/>
  <c r="J56" i="102"/>
  <c r="J61" i="102"/>
  <c r="J58" i="102"/>
  <c r="J49" i="102"/>
  <c r="J27" i="102"/>
  <c r="J23" i="102"/>
  <c r="J25" i="102"/>
  <c r="J36" i="102"/>
  <c r="N40" i="102"/>
  <c r="J44" i="102"/>
  <c r="J48" i="102"/>
  <c r="J54" i="102"/>
  <c r="L12" i="103"/>
  <c r="N12" i="103" s="1"/>
  <c r="F20" i="103"/>
  <c r="F26" i="103"/>
  <c r="F38" i="103"/>
  <c r="F44" i="103"/>
  <c r="F47" i="103"/>
  <c r="N56" i="103"/>
  <c r="F60" i="103"/>
  <c r="F68" i="103"/>
  <c r="F81" i="103"/>
  <c r="H23" i="105"/>
  <c r="Z37" i="105"/>
  <c r="X37" i="105"/>
  <c r="L54" i="105"/>
  <c r="H84" i="107"/>
  <c r="J18" i="107"/>
  <c r="J21" i="103"/>
  <c r="J49" i="103"/>
  <c r="V28" i="105"/>
  <c r="V45" i="105"/>
  <c r="Z48" i="105"/>
  <c r="V51" i="105"/>
  <c r="V57" i="105"/>
  <c r="Z60" i="105"/>
  <c r="V63" i="105"/>
  <c r="J90" i="105"/>
  <c r="R91" i="107"/>
  <c r="R88" i="107"/>
  <c r="R76" i="107"/>
  <c r="R75" i="107"/>
  <c r="R71" i="107"/>
  <c r="R77" i="107"/>
  <c r="R73" i="107"/>
  <c r="R70" i="107"/>
  <c r="R74" i="107"/>
  <c r="R39" i="107"/>
  <c r="R35" i="107"/>
  <c r="R20" i="107"/>
  <c r="R18" i="107"/>
  <c r="R80" i="107"/>
  <c r="R72" i="107"/>
  <c r="R61" i="107"/>
  <c r="R60" i="107"/>
  <c r="R49" i="107"/>
  <c r="R48" i="107"/>
  <c r="R40" i="107"/>
  <c r="R36" i="107"/>
  <c r="R65" i="107"/>
  <c r="R64" i="107"/>
  <c r="R53" i="107"/>
  <c r="R52" i="107"/>
  <c r="R28" i="107"/>
  <c r="R24" i="107"/>
  <c r="R84" i="107"/>
  <c r="R69" i="107"/>
  <c r="R50" i="107"/>
  <c r="R47" i="107"/>
  <c r="R30" i="107"/>
  <c r="R22" i="107"/>
  <c r="R44" i="107"/>
  <c r="R41" i="107"/>
  <c r="R25" i="107"/>
  <c r="R54" i="107"/>
  <c r="R67" i="107"/>
  <c r="R58" i="107"/>
  <c r="R55" i="107"/>
  <c r="R45" i="107"/>
  <c r="R42" i="107"/>
  <c r="R31" i="107"/>
  <c r="R23" i="107"/>
  <c r="R86" i="107"/>
  <c r="R82" i="107"/>
  <c r="R37" i="107"/>
  <c r="R32" i="107"/>
  <c r="R26" i="107"/>
  <c r="P18" i="107"/>
  <c r="R62" i="107"/>
  <c r="R59" i="107"/>
  <c r="R43" i="107"/>
  <c r="R78" i="107"/>
  <c r="R79" i="107"/>
  <c r="R68" i="107"/>
  <c r="R66" i="107"/>
  <c r="R56" i="107"/>
  <c r="R46" i="107"/>
  <c r="R57" i="107"/>
  <c r="R38" i="107"/>
  <c r="R27" i="107"/>
  <c r="X12" i="107"/>
  <c r="Z12" i="107" s="1"/>
  <c r="V86" i="105"/>
  <c r="V92" i="105"/>
  <c r="V90" i="105"/>
  <c r="V88" i="105"/>
  <c r="V82" i="105"/>
  <c r="V78" i="105"/>
  <c r="V74" i="105"/>
  <c r="V58" i="105"/>
  <c r="V46" i="105"/>
  <c r="V42" i="105"/>
  <c r="V38" i="105"/>
  <c r="V70" i="105"/>
  <c r="V62" i="105"/>
  <c r="V50" i="105"/>
  <c r="V34" i="105"/>
  <c r="V30" i="105"/>
  <c r="V26" i="105"/>
  <c r="V85" i="105"/>
  <c r="V69" i="105"/>
  <c r="V61" i="105"/>
  <c r="V49" i="105"/>
  <c r="V25" i="105"/>
  <c r="V23" i="105"/>
  <c r="V21" i="105"/>
  <c r="V80" i="105"/>
  <c r="V76" i="105"/>
  <c r="V64" i="105"/>
  <c r="V52" i="105"/>
  <c r="V44" i="105"/>
  <c r="V40" i="105"/>
  <c r="V96" i="105"/>
  <c r="V67" i="105"/>
  <c r="V55" i="105"/>
  <c r="V19" i="105"/>
  <c r="V18" i="105"/>
  <c r="V36" i="105"/>
  <c r="V39" i="105"/>
  <c r="V68" i="105"/>
  <c r="V73" i="105"/>
  <c r="X90" i="105"/>
  <c r="R15" i="107"/>
  <c r="R34" i="107"/>
  <c r="N16" i="108"/>
  <c r="H24" i="108"/>
  <c r="J86" i="103"/>
  <c r="J70" i="103"/>
  <c r="J38" i="103"/>
  <c r="J42" i="103"/>
  <c r="J46" i="103"/>
  <c r="J56" i="103"/>
  <c r="F20" i="104"/>
  <c r="F19" i="104"/>
  <c r="F28" i="104"/>
  <c r="V56" i="105"/>
  <c r="N58" i="105"/>
  <c r="J58" i="105"/>
  <c r="F73" i="107"/>
  <c r="F68" i="107"/>
  <c r="F77" i="107"/>
  <c r="F29" i="107"/>
  <c r="F25" i="107"/>
  <c r="F78" i="107"/>
  <c r="F74" i="107"/>
  <c r="F71" i="107"/>
  <c r="F56" i="107"/>
  <c r="F55" i="107"/>
  <c r="F44" i="107"/>
  <c r="F43" i="107"/>
  <c r="F91" i="107"/>
  <c r="F75" i="107"/>
  <c r="F72" i="107"/>
  <c r="F60" i="107"/>
  <c r="F59" i="107"/>
  <c r="F48" i="107"/>
  <c r="F47" i="107"/>
  <c r="F40" i="107"/>
  <c r="F36" i="107"/>
  <c r="D18" i="107"/>
  <c r="F66" i="107"/>
  <c r="F49" i="107"/>
  <c r="F46" i="107"/>
  <c r="F24" i="107"/>
  <c r="F20" i="107"/>
  <c r="F88" i="107"/>
  <c r="F84" i="107"/>
  <c r="F79" i="107"/>
  <c r="F63" i="107"/>
  <c r="F38" i="107"/>
  <c r="F57" i="107"/>
  <c r="F53" i="107"/>
  <c r="F69" i="107"/>
  <c r="F16" i="107"/>
  <c r="F80" i="107"/>
  <c r="F54" i="107"/>
  <c r="F41" i="107"/>
  <c r="F34" i="107"/>
  <c r="F67" i="107"/>
  <c r="F64" i="107"/>
  <c r="F39" i="107"/>
  <c r="F28" i="107"/>
  <c r="F61" i="107"/>
  <c r="F58" i="107"/>
  <c r="F51" i="107"/>
  <c r="F70" i="107"/>
  <c r="F45" i="107"/>
  <c r="F42" i="107"/>
  <c r="F86" i="107"/>
  <c r="F37" i="107"/>
  <c r="F52" i="107"/>
  <c r="F32" i="107"/>
  <c r="V15" i="107"/>
  <c r="T18" i="107"/>
  <c r="Z15" i="107"/>
  <c r="R29" i="107"/>
  <c r="F33" i="107"/>
  <c r="R51" i="107"/>
  <c r="X58" i="105"/>
  <c r="R21" i="107"/>
  <c r="J28" i="103"/>
  <c r="J32" i="103"/>
  <c r="J36" i="103"/>
  <c r="J54" i="103"/>
  <c r="J66" i="103"/>
  <c r="J81" i="103"/>
  <c r="D12" i="105"/>
  <c r="V29" i="105"/>
  <c r="V31" i="105"/>
  <c r="V41" i="105"/>
  <c r="X52" i="105"/>
  <c r="X64" i="105"/>
  <c r="L74" i="105"/>
  <c r="N74" i="105" s="1"/>
  <c r="Z21" i="107"/>
  <c r="X21" i="107"/>
  <c r="V21" i="107"/>
  <c r="F26" i="107"/>
  <c r="X45" i="107"/>
  <c r="Z45" i="107"/>
  <c r="V45" i="107"/>
  <c r="N60" i="105"/>
  <c r="N66" i="105"/>
  <c r="N87" i="105"/>
  <c r="R63" i="107"/>
  <c r="N84" i="105"/>
  <c r="R16" i="107"/>
  <c r="R33" i="107"/>
  <c r="X57" i="107"/>
  <c r="Z57" i="107"/>
  <c r="V57" i="107"/>
  <c r="Z43" i="107"/>
  <c r="V79" i="105"/>
  <c r="L84" i="105"/>
  <c r="Z20" i="107"/>
  <c r="V20" i="107"/>
  <c r="R26" i="104"/>
  <c r="J25" i="105"/>
  <c r="J27" i="105"/>
  <c r="J31" i="105"/>
  <c r="J35" i="105"/>
  <c r="J51" i="105"/>
  <c r="J63" i="105"/>
  <c r="J71" i="105"/>
  <c r="N20" i="107"/>
  <c r="J21" i="107"/>
  <c r="J24" i="107"/>
  <c r="J40" i="107"/>
  <c r="J46" i="107"/>
  <c r="N59" i="107"/>
  <c r="X63" i="107"/>
  <c r="Z63" i="107" s="1"/>
  <c r="Z69" i="107"/>
  <c r="L76" i="107"/>
  <c r="N76" i="107" s="1"/>
  <c r="N18" i="108"/>
  <c r="X17" i="109"/>
  <c r="Z17" i="109" s="1"/>
  <c r="P69" i="109"/>
  <c r="F21" i="109"/>
  <c r="Z53" i="107"/>
  <c r="T69" i="109"/>
  <c r="V69" i="109" s="1"/>
  <c r="X79" i="107"/>
  <c r="Z79" i="107"/>
  <c r="J15" i="109"/>
  <c r="H17" i="109"/>
  <c r="X53" i="107"/>
  <c r="V79" i="107"/>
  <c r="T28" i="108"/>
  <c r="F52" i="109"/>
  <c r="F51" i="109"/>
  <c r="F28" i="109"/>
  <c r="F24" i="109"/>
  <c r="F47" i="109"/>
  <c r="F46" i="109"/>
  <c r="F39" i="109"/>
  <c r="F35" i="109"/>
  <c r="D17" i="109"/>
  <c r="F66" i="109"/>
  <c r="F49" i="109"/>
  <c r="F48" i="109"/>
  <c r="F64" i="109"/>
  <c r="F59" i="109"/>
  <c r="F40" i="109"/>
  <c r="F37" i="109"/>
  <c r="F34" i="109"/>
  <c r="F71" i="109"/>
  <c r="F53" i="109"/>
  <c r="F54" i="109"/>
  <c r="F45" i="109"/>
  <c r="F31" i="109"/>
  <c r="F60" i="109"/>
  <c r="F56" i="109"/>
  <c r="F55" i="109"/>
  <c r="F50" i="109"/>
  <c r="F41" i="109"/>
  <c r="F38" i="109"/>
  <c r="F67" i="109"/>
  <c r="F61" i="109"/>
  <c r="F26" i="109"/>
  <c r="F15" i="109"/>
  <c r="F57" i="109"/>
  <c r="F42" i="109"/>
  <c r="L12" i="109"/>
  <c r="N12" i="109" s="1"/>
  <c r="F58" i="109"/>
  <c r="F62" i="109"/>
  <c r="F43" i="109"/>
  <c r="F63" i="109"/>
  <c r="F44" i="109"/>
  <c r="F30" i="109"/>
  <c r="L15" i="109"/>
  <c r="F19" i="109"/>
  <c r="F23" i="109"/>
  <c r="F25" i="109"/>
  <c r="J74" i="105"/>
  <c r="L51" i="107"/>
  <c r="N51" i="107" s="1"/>
  <c r="Z76" i="107"/>
  <c r="L16" i="108"/>
  <c r="N15" i="109"/>
  <c r="F20" i="109"/>
  <c r="L44" i="109"/>
  <c r="N44" i="109" s="1"/>
  <c r="J44" i="109"/>
  <c r="T16" i="104"/>
  <c r="X16" i="104" s="1"/>
  <c r="J29" i="105"/>
  <c r="J33" i="105"/>
  <c r="J57" i="105"/>
  <c r="J28" i="107"/>
  <c r="Z32" i="107"/>
  <c r="J51" i="107"/>
  <c r="J64" i="107"/>
  <c r="J67" i="107"/>
  <c r="J73" i="107"/>
  <c r="D20" i="108"/>
  <c r="L20" i="108" s="1"/>
  <c r="X15" i="109"/>
  <c r="R15" i="109"/>
  <c r="V14" i="104"/>
  <c r="V16" i="104"/>
  <c r="J38" i="105"/>
  <c r="J42" i="105"/>
  <c r="J46" i="105"/>
  <c r="J56" i="105"/>
  <c r="J78" i="105"/>
  <c r="J82" i="105"/>
  <c r="J80" i="107"/>
  <c r="J84" i="107"/>
  <c r="J82" i="107"/>
  <c r="J74" i="107"/>
  <c r="J70" i="107"/>
  <c r="J76" i="107"/>
  <c r="J69" i="107"/>
  <c r="J62" i="107"/>
  <c r="J50" i="107"/>
  <c r="J86" i="107"/>
  <c r="J66" i="107"/>
  <c r="J54" i="107"/>
  <c r="J42" i="107"/>
  <c r="J38" i="107"/>
  <c r="J34" i="107"/>
  <c r="J78" i="107"/>
  <c r="J71" i="107"/>
  <c r="J56" i="107"/>
  <c r="J44" i="107"/>
  <c r="J16" i="107"/>
  <c r="J79" i="107"/>
  <c r="J57" i="107"/>
  <c r="J45" i="107"/>
  <c r="J39" i="107"/>
  <c r="J35" i="107"/>
  <c r="J68" i="107"/>
  <c r="J61" i="107"/>
  <c r="J49" i="107"/>
  <c r="J31" i="107"/>
  <c r="J27" i="107"/>
  <c r="J23" i="107"/>
  <c r="J25" i="107"/>
  <c r="J41" i="107"/>
  <c r="N47" i="107"/>
  <c r="X51" i="107"/>
  <c r="L57" i="107"/>
  <c r="N57" i="107" s="1"/>
  <c r="Z65" i="107"/>
  <c r="J77" i="107"/>
  <c r="V67" i="109"/>
  <c r="V47" i="109"/>
  <c r="V39" i="109"/>
  <c r="V35" i="109"/>
  <c r="V31" i="109"/>
  <c r="V50" i="109"/>
  <c r="V42" i="109"/>
  <c r="V52" i="109"/>
  <c r="V44" i="109"/>
  <c r="V28" i="109"/>
  <c r="V24" i="109"/>
  <c r="V20" i="109"/>
  <c r="V57" i="109"/>
  <c r="V56" i="109"/>
  <c r="V51" i="109"/>
  <c r="V41" i="109"/>
  <c r="V32" i="109"/>
  <c r="V17" i="109"/>
  <c r="V61" i="109"/>
  <c r="V63" i="109"/>
  <c r="V62" i="109"/>
  <c r="V58" i="109"/>
  <c r="V48" i="109"/>
  <c r="V43" i="109"/>
  <c r="V36" i="109"/>
  <c r="V33" i="109"/>
  <c r="V53" i="109"/>
  <c r="V27" i="109"/>
  <c r="V34" i="109"/>
  <c r="V30" i="109"/>
  <c r="V64" i="109"/>
  <c r="V59" i="109"/>
  <c r="V55" i="109"/>
  <c r="V49" i="109"/>
  <c r="V71" i="109"/>
  <c r="V60" i="109"/>
  <c r="V54" i="109"/>
  <c r="V46" i="109"/>
  <c r="V45" i="109"/>
  <c r="V38" i="109"/>
  <c r="F27" i="109"/>
  <c r="F29" i="109"/>
  <c r="L14" i="108"/>
  <c r="N14" i="108"/>
  <c r="N48" i="109"/>
  <c r="L48" i="109"/>
  <c r="R20" i="109"/>
  <c r="Z51" i="107"/>
  <c r="L63" i="107"/>
  <c r="N63" i="107"/>
  <c r="X14" i="108"/>
  <c r="P16" i="108"/>
  <c r="J86" i="105"/>
  <c r="L32" i="107"/>
  <c r="N32" i="107" s="1"/>
  <c r="J63" i="107"/>
  <c r="P20" i="108"/>
  <c r="X20" i="108" s="1"/>
  <c r="F36" i="109"/>
  <c r="V43" i="107"/>
  <c r="V55" i="107"/>
  <c r="V70" i="107"/>
  <c r="V73" i="107"/>
  <c r="V77" i="107"/>
  <c r="J26" i="108"/>
  <c r="J31" i="108"/>
  <c r="J28" i="108"/>
  <c r="R25" i="109"/>
  <c r="R28" i="109"/>
  <c r="Z42" i="109"/>
  <c r="V63" i="107"/>
  <c r="V68" i="107"/>
  <c r="V86" i="107"/>
  <c r="V76" i="107"/>
  <c r="V66" i="107"/>
  <c r="V32" i="107"/>
  <c r="V36" i="107"/>
  <c r="V40" i="107"/>
  <c r="V48" i="107"/>
  <c r="V60" i="107"/>
  <c r="V69" i="107"/>
  <c r="V72" i="107"/>
  <c r="V82" i="107"/>
  <c r="F18" i="108"/>
  <c r="J21" i="108"/>
  <c r="F28" i="108"/>
  <c r="R64" i="109"/>
  <c r="R57" i="109"/>
  <c r="R56" i="109"/>
  <c r="R71" i="109"/>
  <c r="R60" i="109"/>
  <c r="R59" i="109"/>
  <c r="R27" i="109"/>
  <c r="R23" i="109"/>
  <c r="R61" i="109"/>
  <c r="R42" i="109"/>
  <c r="R41" i="109"/>
  <c r="R37" i="109"/>
  <c r="R33" i="109"/>
  <c r="J20" i="109"/>
  <c r="R21" i="109"/>
  <c r="R24" i="109"/>
  <c r="R44" i="109"/>
  <c r="R48" i="109"/>
  <c r="R63" i="109"/>
  <c r="V22" i="107"/>
  <c r="V26" i="107"/>
  <c r="V30" i="107"/>
  <c r="V46" i="107"/>
  <c r="V58" i="107"/>
  <c r="V67" i="107"/>
  <c r="F16" i="108"/>
  <c r="J18" i="108"/>
  <c r="X12" i="109"/>
  <c r="Z12" i="109" s="1"/>
  <c r="R29" i="109"/>
  <c r="R39" i="109"/>
  <c r="V14" i="108"/>
  <c r="V16" i="108"/>
  <c r="V18" i="108"/>
  <c r="J32" i="109"/>
  <c r="J36" i="109"/>
  <c r="J40" i="109"/>
  <c r="J22" i="109"/>
  <c r="J26" i="109"/>
  <c r="J30" i="109"/>
  <c r="J48" i="109"/>
  <c r="J58" i="109"/>
  <c r="J66" i="109"/>
  <c r="J67" i="109"/>
  <c r="P28" i="104" l="1"/>
  <c r="P36" i="101"/>
  <c r="X16" i="101"/>
  <c r="H30" i="100"/>
  <c r="N16" i="100"/>
  <c r="D24" i="108"/>
  <c r="D24" i="104"/>
  <c r="L16" i="104"/>
  <c r="H36" i="101"/>
  <c r="N16" i="101"/>
  <c r="D54" i="99"/>
  <c r="L16" i="99"/>
  <c r="X20" i="94"/>
  <c r="P75" i="94"/>
  <c r="T91" i="95"/>
  <c r="H82" i="92"/>
  <c r="D78" i="91"/>
  <c r="T84" i="87"/>
  <c r="Z19" i="87"/>
  <c r="H84" i="87"/>
  <c r="N19" i="87"/>
  <c r="H111" i="84"/>
  <c r="N35" i="84"/>
  <c r="D111" i="84"/>
  <c r="L35" i="84"/>
  <c r="H76" i="83"/>
  <c r="N17" i="83"/>
  <c r="R112" i="74"/>
  <c r="R93" i="74"/>
  <c r="R92" i="74"/>
  <c r="R99" i="74"/>
  <c r="R98" i="74"/>
  <c r="R118" i="74"/>
  <c r="R109" i="74"/>
  <c r="R84" i="74"/>
  <c r="R75" i="74"/>
  <c r="R71" i="74"/>
  <c r="R132" i="74"/>
  <c r="R113" i="74"/>
  <c r="R110" i="74"/>
  <c r="R103" i="74"/>
  <c r="R62" i="74"/>
  <c r="R58" i="74"/>
  <c r="R54" i="74"/>
  <c r="R133" i="74"/>
  <c r="R122" i="74"/>
  <c r="R104" i="74"/>
  <c r="R81" i="74"/>
  <c r="R127" i="74"/>
  <c r="R119" i="74"/>
  <c r="R114" i="74"/>
  <c r="R88" i="74"/>
  <c r="R76" i="74"/>
  <c r="R72" i="74"/>
  <c r="R111" i="74"/>
  <c r="R89" i="74"/>
  <c r="R85" i="74"/>
  <c r="R68" i="74"/>
  <c r="R63" i="74"/>
  <c r="R123" i="74"/>
  <c r="R105" i="74"/>
  <c r="R94" i="74"/>
  <c r="R82" i="74"/>
  <c r="R67" i="74"/>
  <c r="R124" i="74"/>
  <c r="R116" i="74"/>
  <c r="R115" i="74"/>
  <c r="R95" i="74"/>
  <c r="R78" i="74"/>
  <c r="R77" i="74"/>
  <c r="R73" i="74"/>
  <c r="R69" i="74"/>
  <c r="P65" i="74"/>
  <c r="R128" i="74"/>
  <c r="R120" i="74"/>
  <c r="R106" i="74"/>
  <c r="R100" i="74"/>
  <c r="R90" i="74"/>
  <c r="R60" i="74"/>
  <c r="R56" i="74"/>
  <c r="R117" i="74"/>
  <c r="R91" i="74"/>
  <c r="R86" i="74"/>
  <c r="R83" i="74"/>
  <c r="R79" i="74"/>
  <c r="R137" i="74"/>
  <c r="R130" i="74"/>
  <c r="R125" i="74"/>
  <c r="R96" i="74"/>
  <c r="R74" i="74"/>
  <c r="R70" i="74"/>
  <c r="R121" i="74"/>
  <c r="R108" i="74"/>
  <c r="R107" i="74"/>
  <c r="R97" i="74"/>
  <c r="R61" i="74"/>
  <c r="R131" i="74"/>
  <c r="R126" i="74"/>
  <c r="R102" i="74"/>
  <c r="R101" i="74"/>
  <c r="R87" i="74"/>
  <c r="R80" i="74"/>
  <c r="X12" i="74"/>
  <c r="Z12" i="74" s="1"/>
  <c r="R59" i="74"/>
  <c r="R52" i="74"/>
  <c r="R50" i="74"/>
  <c r="R57" i="74"/>
  <c r="R55" i="74"/>
  <c r="R53" i="74"/>
  <c r="R51" i="74"/>
  <c r="H135" i="74"/>
  <c r="X19" i="72"/>
  <c r="P67" i="72"/>
  <c r="X27" i="68"/>
  <c r="P83" i="68"/>
  <c r="R27" i="68"/>
  <c r="X24" i="42"/>
  <c r="Z24" i="42" s="1"/>
  <c r="P113" i="42"/>
  <c r="R89" i="45"/>
  <c r="R69" i="45"/>
  <c r="R58" i="45"/>
  <c r="R57" i="45"/>
  <c r="R84" i="45"/>
  <c r="R80" i="45"/>
  <c r="R75" i="45"/>
  <c r="R60" i="45"/>
  <c r="R59" i="45"/>
  <c r="R91" i="45"/>
  <c r="R90" i="45"/>
  <c r="R70" i="45"/>
  <c r="R85" i="45"/>
  <c r="R93" i="45"/>
  <c r="R92" i="45"/>
  <c r="R77" i="45"/>
  <c r="R76" i="45"/>
  <c r="R44" i="45"/>
  <c r="R40" i="45"/>
  <c r="R25" i="45"/>
  <c r="R23" i="45"/>
  <c r="R72" i="45"/>
  <c r="R71" i="45"/>
  <c r="R64" i="45"/>
  <c r="R63" i="45"/>
  <c r="R94" i="45"/>
  <c r="R86" i="45"/>
  <c r="R82" i="45"/>
  <c r="R78" i="45"/>
  <c r="R96" i="45"/>
  <c r="R100" i="45"/>
  <c r="R74" i="45"/>
  <c r="R46" i="45"/>
  <c r="R42" i="45"/>
  <c r="R38" i="45"/>
  <c r="R61" i="45"/>
  <c r="R55" i="45"/>
  <c r="R48" i="45"/>
  <c r="R29" i="45"/>
  <c r="R18" i="45"/>
  <c r="R87" i="45"/>
  <c r="R67" i="45"/>
  <c r="R62" i="45"/>
  <c r="R36" i="45"/>
  <c r="R65" i="45"/>
  <c r="R56" i="45"/>
  <c r="R37" i="45"/>
  <c r="R33" i="45"/>
  <c r="P23" i="45"/>
  <c r="R53" i="45"/>
  <c r="R45" i="45"/>
  <c r="R26" i="45"/>
  <c r="R30" i="45"/>
  <c r="R19" i="45"/>
  <c r="R68" i="45"/>
  <c r="R50" i="45"/>
  <c r="R49" i="45"/>
  <c r="R27" i="45"/>
  <c r="R79" i="45"/>
  <c r="R66" i="45"/>
  <c r="R43" i="45"/>
  <c r="R34" i="45"/>
  <c r="R88" i="45"/>
  <c r="R54" i="45"/>
  <c r="R31" i="45"/>
  <c r="R81" i="45"/>
  <c r="R51" i="45"/>
  <c r="R41" i="45"/>
  <c r="R20" i="45"/>
  <c r="R83" i="45"/>
  <c r="R35" i="45"/>
  <c r="R28" i="45"/>
  <c r="R52" i="45"/>
  <c r="R39" i="45"/>
  <c r="X12" i="45"/>
  <c r="Z12" i="45" s="1"/>
  <c r="R73" i="45"/>
  <c r="R47" i="45"/>
  <c r="R32" i="45"/>
  <c r="R21" i="45"/>
  <c r="H106" i="27"/>
  <c r="L23" i="21"/>
  <c r="N23" i="21" s="1"/>
  <c r="D94" i="21"/>
  <c r="P153" i="30"/>
  <c r="X65" i="30"/>
  <c r="H204" i="15"/>
  <c r="J200" i="15"/>
  <c r="P27" i="52"/>
  <c r="X18" i="52"/>
  <c r="X18" i="43"/>
  <c r="P27" i="43"/>
  <c r="H27" i="37"/>
  <c r="N18" i="37"/>
  <c r="T27" i="28"/>
  <c r="Z18" i="28"/>
  <c r="L18" i="20"/>
  <c r="D27" i="20"/>
  <c r="X18" i="17"/>
  <c r="P27" i="17"/>
  <c r="Z18" i="20"/>
  <c r="T27" i="20"/>
  <c r="X18" i="22"/>
  <c r="P27" i="22"/>
  <c r="T27" i="13"/>
  <c r="Z18" i="13"/>
  <c r="R88" i="105"/>
  <c r="R67" i="105"/>
  <c r="R56" i="105"/>
  <c r="R55" i="105"/>
  <c r="R84" i="105"/>
  <c r="R83" i="105"/>
  <c r="R79" i="105"/>
  <c r="R75" i="105"/>
  <c r="R60" i="105"/>
  <c r="R59" i="105"/>
  <c r="R48" i="105"/>
  <c r="R47" i="105"/>
  <c r="R43" i="105"/>
  <c r="R39" i="105"/>
  <c r="R34" i="105"/>
  <c r="R30" i="105"/>
  <c r="R85" i="105"/>
  <c r="R70" i="105"/>
  <c r="R69" i="105"/>
  <c r="R62" i="105"/>
  <c r="R61" i="105"/>
  <c r="R50" i="105"/>
  <c r="R49" i="105"/>
  <c r="R72" i="105"/>
  <c r="R37" i="105"/>
  <c r="R36" i="105"/>
  <c r="R32" i="105"/>
  <c r="R28" i="105"/>
  <c r="X12" i="105"/>
  <c r="Z12" i="105" s="1"/>
  <c r="R74" i="105"/>
  <c r="R63" i="105"/>
  <c r="R57" i="105"/>
  <c r="R51" i="105"/>
  <c r="R45" i="105"/>
  <c r="R40" i="105"/>
  <c r="R19" i="105"/>
  <c r="R82" i="105"/>
  <c r="R77" i="105"/>
  <c r="R64" i="105"/>
  <c r="R58" i="105"/>
  <c r="R20" i="105"/>
  <c r="R80" i="105"/>
  <c r="R27" i="105"/>
  <c r="R44" i="105"/>
  <c r="R21" i="105"/>
  <c r="R90" i="105"/>
  <c r="R71" i="105"/>
  <c r="R87" i="105"/>
  <c r="R66" i="105"/>
  <c r="R54" i="105"/>
  <c r="P23" i="105"/>
  <c r="R52" i="105"/>
  <c r="R41" i="105"/>
  <c r="R18" i="105"/>
  <c r="R94" i="105"/>
  <c r="R73" i="105"/>
  <c r="R29" i="105"/>
  <c r="R81" i="105"/>
  <c r="R35" i="105"/>
  <c r="R33" i="105"/>
  <c r="R25" i="105"/>
  <c r="R65" i="105"/>
  <c r="R31" i="105"/>
  <c r="R68" i="105"/>
  <c r="R26" i="105"/>
  <c r="R76" i="105"/>
  <c r="R53" i="105"/>
  <c r="R46" i="105"/>
  <c r="R42" i="105"/>
  <c r="R38" i="105"/>
  <c r="R78" i="105"/>
  <c r="R86" i="105"/>
  <c r="P54" i="99"/>
  <c r="T111" i="84"/>
  <c r="N68" i="80"/>
  <c r="H72" i="80"/>
  <c r="H96" i="76"/>
  <c r="F90" i="76"/>
  <c r="F89" i="76"/>
  <c r="F82" i="76"/>
  <c r="F81" i="76"/>
  <c r="F45" i="76"/>
  <c r="F38" i="76"/>
  <c r="F34" i="76"/>
  <c r="F73" i="76"/>
  <c r="F72" i="76"/>
  <c r="F65" i="76"/>
  <c r="F61" i="76"/>
  <c r="F94" i="76"/>
  <c r="F92" i="76"/>
  <c r="F77" i="76"/>
  <c r="F76" i="76"/>
  <c r="F53" i="76"/>
  <c r="F49" i="76"/>
  <c r="F40" i="76"/>
  <c r="F36" i="76"/>
  <c r="F32" i="76"/>
  <c r="F31" i="76"/>
  <c r="F87" i="76"/>
  <c r="F67" i="76"/>
  <c r="F63" i="76"/>
  <c r="F59" i="76"/>
  <c r="F98" i="76"/>
  <c r="F71" i="76"/>
  <c r="F70" i="76"/>
  <c r="F55" i="76"/>
  <c r="F51" i="76"/>
  <c r="F47" i="76"/>
  <c r="F46" i="76"/>
  <c r="F50" i="76"/>
  <c r="F85" i="76"/>
  <c r="F69" i="76"/>
  <c r="F62" i="76"/>
  <c r="F80" i="76"/>
  <c r="F60" i="76"/>
  <c r="F39" i="76"/>
  <c r="F83" i="76"/>
  <c r="F58" i="76"/>
  <c r="F48" i="76"/>
  <c r="D43" i="76"/>
  <c r="F43" i="76" s="1"/>
  <c r="F86" i="76"/>
  <c r="F75" i="76"/>
  <c r="F37" i="76"/>
  <c r="F93" i="76"/>
  <c r="F88" i="76"/>
  <c r="F56" i="76"/>
  <c r="F54" i="76"/>
  <c r="F84" i="76"/>
  <c r="F78" i="76"/>
  <c r="F68" i="76"/>
  <c r="L12" i="76"/>
  <c r="N12" i="76" s="1"/>
  <c r="F35" i="76"/>
  <c r="F79" i="76"/>
  <c r="F66" i="76"/>
  <c r="F52" i="76"/>
  <c r="F74" i="76"/>
  <c r="F64" i="76"/>
  <c r="F57" i="76"/>
  <c r="F41" i="76"/>
  <c r="F33" i="76"/>
  <c r="T55" i="69"/>
  <c r="Z17" i="69"/>
  <c r="L16" i="63"/>
  <c r="D95" i="63"/>
  <c r="N16" i="63"/>
  <c r="H95" i="63"/>
  <c r="H73" i="57"/>
  <c r="N17" i="57"/>
  <c r="H54" i="60"/>
  <c r="N16" i="60"/>
  <c r="F27" i="56"/>
  <c r="F23" i="56"/>
  <c r="F62" i="56"/>
  <c r="F54" i="56"/>
  <c r="F53" i="56"/>
  <c r="F42" i="56"/>
  <c r="F41" i="56"/>
  <c r="F37" i="56"/>
  <c r="F33" i="56"/>
  <c r="F64" i="56"/>
  <c r="F63" i="56"/>
  <c r="F56" i="56"/>
  <c r="F55" i="56"/>
  <c r="F44" i="56"/>
  <c r="F43" i="56"/>
  <c r="F28" i="56"/>
  <c r="F24" i="56"/>
  <c r="F58" i="56"/>
  <c r="F57" i="56"/>
  <c r="F46" i="56"/>
  <c r="F45" i="56"/>
  <c r="F38" i="56"/>
  <c r="F34" i="56"/>
  <c r="F68" i="56"/>
  <c r="F66" i="56"/>
  <c r="F29" i="56"/>
  <c r="F25" i="56"/>
  <c r="F21" i="56"/>
  <c r="F20" i="56"/>
  <c r="F70" i="56"/>
  <c r="F60" i="56"/>
  <c r="F59" i="56"/>
  <c r="F48" i="56"/>
  <c r="F47" i="56"/>
  <c r="F19" i="56"/>
  <c r="F17" i="56"/>
  <c r="F15" i="56"/>
  <c r="F39" i="56"/>
  <c r="F35" i="56"/>
  <c r="F31" i="56"/>
  <c r="F30" i="56"/>
  <c r="D17" i="56"/>
  <c r="F50" i="56"/>
  <c r="F49" i="56"/>
  <c r="F26" i="56"/>
  <c r="F22" i="56"/>
  <c r="L12" i="56"/>
  <c r="F52" i="56"/>
  <c r="F51" i="56"/>
  <c r="F40" i="56"/>
  <c r="F36" i="56"/>
  <c r="F32" i="56"/>
  <c r="F72" i="56"/>
  <c r="F61" i="56"/>
  <c r="F75" i="56"/>
  <c r="X43" i="51"/>
  <c r="P96" i="51"/>
  <c r="X17" i="48"/>
  <c r="P69" i="48"/>
  <c r="H120" i="42"/>
  <c r="T94" i="21"/>
  <c r="V23" i="21"/>
  <c r="P200" i="15"/>
  <c r="X95" i="15"/>
  <c r="R202" i="12"/>
  <c r="R201" i="12"/>
  <c r="R186" i="12"/>
  <c r="R182" i="12"/>
  <c r="R166" i="12"/>
  <c r="R143" i="12"/>
  <c r="R142" i="12"/>
  <c r="R110" i="12"/>
  <c r="R106" i="12"/>
  <c r="R203" i="12"/>
  <c r="R194" i="12"/>
  <c r="R193" i="12"/>
  <c r="R177" i="12"/>
  <c r="R161" i="12"/>
  <c r="R150" i="12"/>
  <c r="R149" i="12"/>
  <c r="R134" i="12"/>
  <c r="R133" i="12"/>
  <c r="R126" i="12"/>
  <c r="R125" i="12"/>
  <c r="R102" i="12"/>
  <c r="R97" i="12"/>
  <c r="R93" i="12"/>
  <c r="R89" i="12"/>
  <c r="R85" i="12"/>
  <c r="R81" i="12"/>
  <c r="R77" i="12"/>
  <c r="R204" i="12"/>
  <c r="R172" i="12"/>
  <c r="R144" i="12"/>
  <c r="R120" i="12"/>
  <c r="R116" i="12"/>
  <c r="R101" i="12"/>
  <c r="R73" i="12"/>
  <c r="R205" i="12"/>
  <c r="R195" i="12"/>
  <c r="R187" i="12"/>
  <c r="R183" i="12"/>
  <c r="R167" i="12"/>
  <c r="R152" i="12"/>
  <c r="R151" i="12"/>
  <c r="R136" i="12"/>
  <c r="R135" i="12"/>
  <c r="R127" i="12"/>
  <c r="R111" i="12"/>
  <c r="R107" i="12"/>
  <c r="R103" i="12"/>
  <c r="P99" i="12"/>
  <c r="R179" i="12"/>
  <c r="R178" i="12"/>
  <c r="R162" i="12"/>
  <c r="R94" i="12"/>
  <c r="R90" i="12"/>
  <c r="R86" i="12"/>
  <c r="R82" i="12"/>
  <c r="R78" i="12"/>
  <c r="R74" i="12"/>
  <c r="R173" i="12"/>
  <c r="R154" i="12"/>
  <c r="R153" i="12"/>
  <c r="R146" i="12"/>
  <c r="R145" i="12"/>
  <c r="R137" i="12"/>
  <c r="R121" i="12"/>
  <c r="R117" i="12"/>
  <c r="R196" i="12"/>
  <c r="R189" i="12"/>
  <c r="R188" i="12"/>
  <c r="R184" i="12"/>
  <c r="R180" i="12"/>
  <c r="R168" i="12"/>
  <c r="R129" i="12"/>
  <c r="R128" i="12"/>
  <c r="R113" i="12"/>
  <c r="R112" i="12"/>
  <c r="R108" i="12"/>
  <c r="R104" i="12"/>
  <c r="R209" i="12"/>
  <c r="R163" i="12"/>
  <c r="R156" i="12"/>
  <c r="R155" i="12"/>
  <c r="R147" i="12"/>
  <c r="R95" i="12"/>
  <c r="R91" i="12"/>
  <c r="R87" i="12"/>
  <c r="R83" i="12"/>
  <c r="R79" i="12"/>
  <c r="R75" i="12"/>
  <c r="R190" i="12"/>
  <c r="R174" i="12"/>
  <c r="R139" i="12"/>
  <c r="R138" i="12"/>
  <c r="R131" i="12"/>
  <c r="R130" i="12"/>
  <c r="R122" i="12"/>
  <c r="R118" i="12"/>
  <c r="R114" i="12"/>
  <c r="R198" i="12"/>
  <c r="R197" i="12"/>
  <c r="R185" i="12"/>
  <c r="R181" i="12"/>
  <c r="R170" i="12"/>
  <c r="R169" i="12"/>
  <c r="R158" i="12"/>
  <c r="R157" i="12"/>
  <c r="R109" i="12"/>
  <c r="R105" i="12"/>
  <c r="R165" i="12"/>
  <c r="R164" i="12"/>
  <c r="R148" i="12"/>
  <c r="R141" i="12"/>
  <c r="R140" i="12"/>
  <c r="R132" i="12"/>
  <c r="R96" i="12"/>
  <c r="R92" i="12"/>
  <c r="R88" i="12"/>
  <c r="R84" i="12"/>
  <c r="R199" i="12"/>
  <c r="R192" i="12"/>
  <c r="R191" i="12"/>
  <c r="R176" i="12"/>
  <c r="R175" i="12"/>
  <c r="R171" i="12"/>
  <c r="R160" i="12"/>
  <c r="R159" i="12"/>
  <c r="R124" i="12"/>
  <c r="R123" i="12"/>
  <c r="R119" i="12"/>
  <c r="R115" i="12"/>
  <c r="R76" i="12"/>
  <c r="X12" i="12"/>
  <c r="Z12" i="12" s="1"/>
  <c r="R80" i="12"/>
  <c r="P241" i="3"/>
  <c r="X125" i="3"/>
  <c r="X18" i="112"/>
  <c r="P27" i="112"/>
  <c r="T27" i="46"/>
  <c r="Z18" i="46"/>
  <c r="T27" i="52"/>
  <c r="Z18" i="52"/>
  <c r="T27" i="53"/>
  <c r="Z18" i="53"/>
  <c r="T27" i="47"/>
  <c r="Z18" i="47"/>
  <c r="T27" i="43"/>
  <c r="Z18" i="43"/>
  <c r="X18" i="41"/>
  <c r="P27" i="41"/>
  <c r="T27" i="37"/>
  <c r="Z18" i="37"/>
  <c r="L18" i="41"/>
  <c r="D27" i="41"/>
  <c r="X18" i="23"/>
  <c r="P27" i="23"/>
  <c r="T27" i="22"/>
  <c r="Z18" i="22"/>
  <c r="X18" i="19"/>
  <c r="P27" i="19"/>
  <c r="D30" i="100"/>
  <c r="L16" i="100"/>
  <c r="X22" i="98"/>
  <c r="P26" i="98"/>
  <c r="D135" i="74"/>
  <c r="L65" i="74"/>
  <c r="N65" i="74" s="1"/>
  <c r="H83" i="68"/>
  <c r="L16" i="61"/>
  <c r="D60" i="61"/>
  <c r="H64" i="61"/>
  <c r="T96" i="51"/>
  <c r="Z43" i="51"/>
  <c r="D69" i="48"/>
  <c r="L17" i="48"/>
  <c r="H96" i="51"/>
  <c r="F71" i="51"/>
  <c r="F70" i="51"/>
  <c r="F55" i="51"/>
  <c r="F51" i="51"/>
  <c r="F47" i="51"/>
  <c r="F46" i="51"/>
  <c r="F77" i="51"/>
  <c r="F76" i="51"/>
  <c r="F53" i="51"/>
  <c r="F49" i="51"/>
  <c r="F74" i="51"/>
  <c r="F69" i="51"/>
  <c r="F58" i="51"/>
  <c r="F57" i="51"/>
  <c r="F86" i="51"/>
  <c r="F85" i="51"/>
  <c r="F80" i="51"/>
  <c r="F79" i="51"/>
  <c r="F65" i="51"/>
  <c r="F54" i="51"/>
  <c r="F75" i="51"/>
  <c r="F62" i="51"/>
  <c r="F48" i="51"/>
  <c r="F32" i="51"/>
  <c r="F31" i="51"/>
  <c r="L12" i="51"/>
  <c r="N12" i="51" s="1"/>
  <c r="F41" i="51"/>
  <c r="F38" i="51"/>
  <c r="F35" i="51"/>
  <c r="F92" i="51"/>
  <c r="F82" i="51"/>
  <c r="F81" i="51"/>
  <c r="F66" i="51"/>
  <c r="F59" i="51"/>
  <c r="F93" i="51"/>
  <c r="F87" i="51"/>
  <c r="F94" i="51"/>
  <c r="F63" i="51"/>
  <c r="F52" i="51"/>
  <c r="F60" i="51"/>
  <c r="F39" i="51"/>
  <c r="F36" i="51"/>
  <c r="F33" i="51"/>
  <c r="F88" i="51"/>
  <c r="F83" i="51"/>
  <c r="F72" i="51"/>
  <c r="F67" i="51"/>
  <c r="D43" i="51"/>
  <c r="F43" i="51" s="1"/>
  <c r="F64" i="51"/>
  <c r="F56" i="51"/>
  <c r="F45" i="51"/>
  <c r="F84" i="51"/>
  <c r="F73" i="51"/>
  <c r="F68" i="51"/>
  <c r="F50" i="51"/>
  <c r="F98" i="51"/>
  <c r="F90" i="51"/>
  <c r="F89" i="51"/>
  <c r="F78" i="51"/>
  <c r="F61" i="51"/>
  <c r="F40" i="51"/>
  <c r="F37" i="51"/>
  <c r="F34" i="51"/>
  <c r="P77" i="58"/>
  <c r="X73" i="58"/>
  <c r="H125" i="39"/>
  <c r="D120" i="36"/>
  <c r="L26" i="36"/>
  <c r="N26" i="36" s="1"/>
  <c r="F225" i="18"/>
  <c r="F205" i="18"/>
  <c r="F204" i="18"/>
  <c r="F189" i="18"/>
  <c r="F169" i="18"/>
  <c r="F168" i="18"/>
  <c r="F153" i="18"/>
  <c r="F152" i="18"/>
  <c r="F145" i="18"/>
  <c r="F144" i="18"/>
  <c r="F129" i="18"/>
  <c r="F125" i="18"/>
  <c r="F121" i="18"/>
  <c r="F120" i="18"/>
  <c r="F212" i="18"/>
  <c r="F200" i="18"/>
  <c r="F196" i="18"/>
  <c r="F184" i="18"/>
  <c r="F119" i="18"/>
  <c r="F112" i="18"/>
  <c r="F108" i="18"/>
  <c r="F104" i="18"/>
  <c r="F100" i="18"/>
  <c r="F96" i="18"/>
  <c r="F92" i="18"/>
  <c r="F88" i="18"/>
  <c r="F179" i="18"/>
  <c r="F171" i="18"/>
  <c r="F170" i="18"/>
  <c r="F163" i="18"/>
  <c r="F155" i="18"/>
  <c r="F154" i="18"/>
  <c r="F139" i="18"/>
  <c r="F135" i="18"/>
  <c r="D117" i="18"/>
  <c r="F214" i="18"/>
  <c r="F213" i="18"/>
  <c r="F206" i="18"/>
  <c r="F190" i="18"/>
  <c r="F146" i="18"/>
  <c r="F130" i="18"/>
  <c r="F126" i="18"/>
  <c r="F122" i="18"/>
  <c r="F201" i="18"/>
  <c r="F197" i="18"/>
  <c r="F185" i="18"/>
  <c r="F173" i="18"/>
  <c r="F172" i="18"/>
  <c r="F165" i="18"/>
  <c r="F164" i="18"/>
  <c r="F113" i="18"/>
  <c r="F109" i="18"/>
  <c r="F105" i="18"/>
  <c r="F101" i="18"/>
  <c r="F97" i="18"/>
  <c r="F93" i="18"/>
  <c r="F89" i="18"/>
  <c r="F217" i="18"/>
  <c r="F208" i="18"/>
  <c r="F207" i="18"/>
  <c r="F192" i="18"/>
  <c r="F191" i="18"/>
  <c r="F180" i="18"/>
  <c r="F156" i="18"/>
  <c r="F148" i="18"/>
  <c r="F147" i="18"/>
  <c r="F140" i="18"/>
  <c r="F136" i="18"/>
  <c r="F132" i="18"/>
  <c r="F131" i="18"/>
  <c r="L12" i="18"/>
  <c r="N12" i="18" s="1"/>
  <c r="F218" i="18"/>
  <c r="F216" i="18"/>
  <c r="F187" i="18"/>
  <c r="F186" i="18"/>
  <c r="F175" i="18"/>
  <c r="F174" i="18"/>
  <c r="F127" i="18"/>
  <c r="F123" i="18"/>
  <c r="F219" i="18"/>
  <c r="F210" i="18"/>
  <c r="F209" i="18"/>
  <c r="F202" i="18"/>
  <c r="F198" i="18"/>
  <c r="F182" i="18"/>
  <c r="F181" i="18"/>
  <c r="F166" i="18"/>
  <c r="F158" i="18"/>
  <c r="F157" i="18"/>
  <c r="F150" i="18"/>
  <c r="F149" i="18"/>
  <c r="F114" i="18"/>
  <c r="F110" i="18"/>
  <c r="F106" i="18"/>
  <c r="F102" i="18"/>
  <c r="F98" i="18"/>
  <c r="F94" i="18"/>
  <c r="F90" i="18"/>
  <c r="F220" i="18"/>
  <c r="F193" i="18"/>
  <c r="F177" i="18"/>
  <c r="F176" i="18"/>
  <c r="F141" i="18"/>
  <c r="F137" i="18"/>
  <c r="F133" i="18"/>
  <c r="F221" i="18"/>
  <c r="F188" i="18"/>
  <c r="F160" i="18"/>
  <c r="F159" i="18"/>
  <c r="F128" i="18"/>
  <c r="F124" i="18"/>
  <c r="F211" i="18"/>
  <c r="F203" i="18"/>
  <c r="F199" i="18"/>
  <c r="F195" i="18"/>
  <c r="F194" i="18"/>
  <c r="F183" i="18"/>
  <c r="F167" i="18"/>
  <c r="F151" i="18"/>
  <c r="F143" i="18"/>
  <c r="F142" i="18"/>
  <c r="F115" i="18"/>
  <c r="F111" i="18"/>
  <c r="F107" i="18"/>
  <c r="F103" i="18"/>
  <c r="F99" i="18"/>
  <c r="F95" i="18"/>
  <c r="F91" i="18"/>
  <c r="F87" i="18"/>
  <c r="F86" i="18"/>
  <c r="F178" i="18"/>
  <c r="F162" i="18"/>
  <c r="F161" i="18"/>
  <c r="F138" i="18"/>
  <c r="F134" i="18"/>
  <c r="H207" i="12"/>
  <c r="N17" i="9"/>
  <c r="H102" i="9"/>
  <c r="P26" i="6"/>
  <c r="D241" i="3"/>
  <c r="L125" i="3"/>
  <c r="T27" i="110"/>
  <c r="Z18" i="110"/>
  <c r="P27" i="110"/>
  <c r="X18" i="110"/>
  <c r="H27" i="110"/>
  <c r="N18" i="110"/>
  <c r="L18" i="110"/>
  <c r="D27" i="110"/>
  <c r="X18" i="40"/>
  <c r="P27" i="40"/>
  <c r="H27" i="43"/>
  <c r="N18" i="43"/>
  <c r="H27" i="35"/>
  <c r="N18" i="35"/>
  <c r="H27" i="32"/>
  <c r="N18" i="32"/>
  <c r="X18" i="37"/>
  <c r="P27" i="37"/>
  <c r="X18" i="28"/>
  <c r="P27" i="28"/>
  <c r="N18" i="20"/>
  <c r="H27" i="20"/>
  <c r="T27" i="16"/>
  <c r="Z18" i="16"/>
  <c r="X18" i="13"/>
  <c r="P27" i="13"/>
  <c r="D84" i="107"/>
  <c r="L18" i="107"/>
  <c r="N18" i="107" s="1"/>
  <c r="H92" i="105"/>
  <c r="D54" i="102"/>
  <c r="L16" i="102"/>
  <c r="L18" i="92"/>
  <c r="D78" i="92"/>
  <c r="P80" i="83"/>
  <c r="X76" i="83"/>
  <c r="T76" i="79"/>
  <c r="Z17" i="80"/>
  <c r="T68" i="80"/>
  <c r="H78" i="75"/>
  <c r="T67" i="72"/>
  <c r="Z19" i="72"/>
  <c r="V19" i="72"/>
  <c r="P55" i="69"/>
  <c r="X17" i="69"/>
  <c r="T73" i="57"/>
  <c r="Z17" i="57"/>
  <c r="X26" i="36"/>
  <c r="Z26" i="36" s="1"/>
  <c r="P120" i="36"/>
  <c r="D106" i="27"/>
  <c r="L46" i="27"/>
  <c r="N46" i="27" s="1"/>
  <c r="H27" i="111"/>
  <c r="N18" i="111"/>
  <c r="H27" i="50"/>
  <c r="N18" i="50"/>
  <c r="X18" i="44"/>
  <c r="P27" i="44"/>
  <c r="X18" i="38"/>
  <c r="P27" i="38"/>
  <c r="L18" i="34"/>
  <c r="D27" i="34"/>
  <c r="T27" i="29"/>
  <c r="Z18" i="29"/>
  <c r="X18" i="29"/>
  <c r="P27" i="29"/>
  <c r="H27" i="29"/>
  <c r="N18" i="29"/>
  <c r="X18" i="31"/>
  <c r="P27" i="31"/>
  <c r="P27" i="25"/>
  <c r="X18" i="25"/>
  <c r="H27" i="22"/>
  <c r="N18" i="22"/>
  <c r="L18" i="23"/>
  <c r="D27" i="23"/>
  <c r="P27" i="11"/>
  <c r="X18" i="11"/>
  <c r="T27" i="8"/>
  <c r="Z18" i="8"/>
  <c r="L18" i="11"/>
  <c r="D27" i="11"/>
  <c r="X18" i="7"/>
  <c r="P27" i="7"/>
  <c r="L17" i="109"/>
  <c r="D69" i="109"/>
  <c r="D88" i="97"/>
  <c r="H84" i="97"/>
  <c r="N19" i="97"/>
  <c r="H75" i="94"/>
  <c r="N20" i="94"/>
  <c r="D32" i="88"/>
  <c r="L16" i="88"/>
  <c r="P32" i="88"/>
  <c r="X16" i="88"/>
  <c r="L23" i="82"/>
  <c r="N23" i="82" s="1"/>
  <c r="D49" i="82"/>
  <c r="P28" i="85"/>
  <c r="X20" i="85"/>
  <c r="F65" i="74"/>
  <c r="P75" i="56"/>
  <c r="F111" i="39"/>
  <c r="F110" i="39"/>
  <c r="F103" i="39"/>
  <c r="F102" i="39"/>
  <c r="F87" i="39"/>
  <c r="F83" i="39"/>
  <c r="F82" i="39"/>
  <c r="F39" i="39"/>
  <c r="F35" i="39"/>
  <c r="F31" i="39"/>
  <c r="F30" i="39"/>
  <c r="F98" i="39"/>
  <c r="F94" i="39"/>
  <c r="F66" i="39"/>
  <c r="F65" i="39"/>
  <c r="F58" i="39"/>
  <c r="F57" i="39"/>
  <c r="F29" i="39"/>
  <c r="F114" i="39"/>
  <c r="F115" i="39"/>
  <c r="F113" i="39"/>
  <c r="F104" i="39"/>
  <c r="F84" i="39"/>
  <c r="F68" i="39"/>
  <c r="F67" i="39"/>
  <c r="F116" i="39"/>
  <c r="F106" i="39"/>
  <c r="F105" i="39"/>
  <c r="F78" i="39"/>
  <c r="F70" i="39"/>
  <c r="F69" i="39"/>
  <c r="F50" i="39"/>
  <c r="F46" i="39"/>
  <c r="F42" i="39"/>
  <c r="F85" i="39"/>
  <c r="F37" i="39"/>
  <c r="F33" i="39"/>
  <c r="F120" i="39"/>
  <c r="F108" i="39"/>
  <c r="F107" i="39"/>
  <c r="F100" i="39"/>
  <c r="F96" i="39"/>
  <c r="F92" i="39"/>
  <c r="F80" i="39"/>
  <c r="F79" i="39"/>
  <c r="F72" i="39"/>
  <c r="F71" i="39"/>
  <c r="F60" i="39"/>
  <c r="F52" i="39"/>
  <c r="F51" i="39"/>
  <c r="F24" i="39"/>
  <c r="F86" i="39"/>
  <c r="F74" i="39"/>
  <c r="F73" i="39"/>
  <c r="F62" i="39"/>
  <c r="F61" i="39"/>
  <c r="F109" i="39"/>
  <c r="F101" i="39"/>
  <c r="F76" i="39"/>
  <c r="F75" i="39"/>
  <c r="F64" i="39"/>
  <c r="F63" i="39"/>
  <c r="F56" i="39"/>
  <c r="F55" i="39"/>
  <c r="F48" i="39"/>
  <c r="F44" i="39"/>
  <c r="F97" i="39"/>
  <c r="F90" i="39"/>
  <c r="F22" i="39"/>
  <c r="F99" i="39"/>
  <c r="F59" i="39"/>
  <c r="F40" i="39"/>
  <c r="F23" i="39"/>
  <c r="F88" i="39"/>
  <c r="D27" i="39"/>
  <c r="F54" i="39"/>
  <c r="F49" i="39"/>
  <c r="F47" i="39"/>
  <c r="F45" i="39"/>
  <c r="F38" i="39"/>
  <c r="F91" i="39"/>
  <c r="F36" i="39"/>
  <c r="F34" i="39"/>
  <c r="F32" i="39"/>
  <c r="F93" i="39"/>
  <c r="F43" i="39"/>
  <c r="F41" i="39"/>
  <c r="F89" i="39"/>
  <c r="F81" i="39"/>
  <c r="F95" i="39"/>
  <c r="F77" i="39"/>
  <c r="F53" i="39"/>
  <c r="F25" i="39"/>
  <c r="L12" i="39"/>
  <c r="N12" i="39" s="1"/>
  <c r="R99" i="39"/>
  <c r="R95" i="39"/>
  <c r="R91" i="39"/>
  <c r="R59" i="39"/>
  <c r="R107" i="39"/>
  <c r="R106" i="39"/>
  <c r="R79" i="39"/>
  <c r="R78" i="39"/>
  <c r="R71" i="39"/>
  <c r="R70" i="39"/>
  <c r="R51" i="39"/>
  <c r="R50" i="39"/>
  <c r="R46" i="39"/>
  <c r="R42" i="39"/>
  <c r="R120" i="39"/>
  <c r="R108" i="39"/>
  <c r="R100" i="39"/>
  <c r="R96" i="39"/>
  <c r="R92" i="39"/>
  <c r="R80" i="39"/>
  <c r="R73" i="39"/>
  <c r="R72" i="39"/>
  <c r="R86" i="39"/>
  <c r="R75" i="39"/>
  <c r="R74" i="39"/>
  <c r="R63" i="39"/>
  <c r="R62" i="39"/>
  <c r="R55" i="39"/>
  <c r="R54" i="39"/>
  <c r="R38" i="39"/>
  <c r="R34" i="39"/>
  <c r="R110" i="39"/>
  <c r="R109" i="39"/>
  <c r="R102" i="39"/>
  <c r="R101" i="39"/>
  <c r="R97" i="39"/>
  <c r="R93" i="39"/>
  <c r="R82" i="39"/>
  <c r="R81" i="39"/>
  <c r="R30" i="39"/>
  <c r="R76" i="39"/>
  <c r="R65" i="39"/>
  <c r="R64" i="39"/>
  <c r="R57" i="39"/>
  <c r="R56" i="39"/>
  <c r="R48" i="39"/>
  <c r="R44" i="39"/>
  <c r="R29" i="39"/>
  <c r="R111" i="39"/>
  <c r="R103" i="39"/>
  <c r="R114" i="39"/>
  <c r="R113" i="39"/>
  <c r="R98" i="39"/>
  <c r="R94" i="39"/>
  <c r="R67" i="39"/>
  <c r="R66" i="39"/>
  <c r="R115" i="39"/>
  <c r="R116" i="39"/>
  <c r="R105" i="39"/>
  <c r="R104" i="39"/>
  <c r="R84" i="39"/>
  <c r="R69" i="39"/>
  <c r="R68" i="39"/>
  <c r="R36" i="39"/>
  <c r="R32" i="39"/>
  <c r="R49" i="39"/>
  <c r="R47" i="39"/>
  <c r="R45" i="39"/>
  <c r="R83" i="39"/>
  <c r="R52" i="39"/>
  <c r="R43" i="39"/>
  <c r="R24" i="39"/>
  <c r="R41" i="39"/>
  <c r="R89" i="39"/>
  <c r="R85" i="39"/>
  <c r="R77" i="39"/>
  <c r="R39" i="39"/>
  <c r="R25" i="39"/>
  <c r="R87" i="39"/>
  <c r="R60" i="39"/>
  <c r="R58" i="39"/>
  <c r="R53" i="39"/>
  <c r="R37" i="39"/>
  <c r="R22" i="39"/>
  <c r="R35" i="39"/>
  <c r="R33" i="39"/>
  <c r="R31" i="39"/>
  <c r="X12" i="39"/>
  <c r="Z12" i="39" s="1"/>
  <c r="R90" i="39"/>
  <c r="R40" i="39"/>
  <c r="P27" i="39"/>
  <c r="R23" i="39"/>
  <c r="R88" i="39"/>
  <c r="R61" i="39"/>
  <c r="T223" i="18"/>
  <c r="L16" i="6"/>
  <c r="D22" i="6"/>
  <c r="F125" i="3"/>
  <c r="R125" i="3"/>
  <c r="T27" i="14"/>
  <c r="Z18" i="14"/>
  <c r="L18" i="4"/>
  <c r="D27" i="4"/>
  <c r="H27" i="7"/>
  <c r="N18" i="7"/>
  <c r="D27" i="7"/>
  <c r="L18" i="7"/>
  <c r="T31" i="108"/>
  <c r="Z31" i="108" s="1"/>
  <c r="Z28" i="108"/>
  <c r="F71" i="105"/>
  <c r="F70" i="105"/>
  <c r="F63" i="105"/>
  <c r="F62" i="105"/>
  <c r="F51" i="105"/>
  <c r="F50" i="105"/>
  <c r="F35" i="105"/>
  <c r="F31" i="105"/>
  <c r="F88" i="105"/>
  <c r="F87" i="105"/>
  <c r="F67" i="105"/>
  <c r="F66" i="105"/>
  <c r="F55" i="105"/>
  <c r="F54" i="105"/>
  <c r="F19" i="105"/>
  <c r="F18" i="105"/>
  <c r="F82" i="105"/>
  <c r="F78" i="105"/>
  <c r="F46" i="105"/>
  <c r="F42" i="105"/>
  <c r="F38" i="105"/>
  <c r="F37" i="105"/>
  <c r="F73" i="105"/>
  <c r="F57" i="105"/>
  <c r="F56" i="105"/>
  <c r="F33" i="105"/>
  <c r="F29" i="105"/>
  <c r="F80" i="105"/>
  <c r="F76" i="105"/>
  <c r="F44" i="105"/>
  <c r="F40" i="105"/>
  <c r="F68" i="105"/>
  <c r="F65" i="105"/>
  <c r="F59" i="105"/>
  <c r="F53" i="105"/>
  <c r="F94" i="105"/>
  <c r="F90" i="105"/>
  <c r="F81" i="105"/>
  <c r="F84" i="105"/>
  <c r="F74" i="105"/>
  <c r="F79" i="105"/>
  <c r="F69" i="105"/>
  <c r="F60" i="105"/>
  <c r="F48" i="105"/>
  <c r="F45" i="105"/>
  <c r="D23" i="105"/>
  <c r="F72" i="105"/>
  <c r="F85" i="105"/>
  <c r="F77" i="105"/>
  <c r="F43" i="105"/>
  <c r="F25" i="105"/>
  <c r="F64" i="105"/>
  <c r="F61" i="105"/>
  <c r="F58" i="105"/>
  <c r="F52" i="105"/>
  <c r="F49" i="105"/>
  <c r="F86" i="105"/>
  <c r="F83" i="105"/>
  <c r="F21" i="105"/>
  <c r="F32" i="105"/>
  <c r="F23" i="105"/>
  <c r="F20" i="105"/>
  <c r="F47" i="105"/>
  <c r="F41" i="105"/>
  <c r="F39" i="105"/>
  <c r="F27" i="105"/>
  <c r="F75" i="105"/>
  <c r="L12" i="105"/>
  <c r="N12" i="105" s="1"/>
  <c r="F36" i="105"/>
  <c r="F30" i="105"/>
  <c r="F26" i="105"/>
  <c r="F28" i="105"/>
  <c r="F34" i="105"/>
  <c r="P84" i="107"/>
  <c r="X18" i="107"/>
  <c r="L19" i="97"/>
  <c r="L36" i="101"/>
  <c r="D40" i="101"/>
  <c r="T79" i="94"/>
  <c r="F74" i="95"/>
  <c r="F73" i="95"/>
  <c r="F50" i="95"/>
  <c r="F49" i="95"/>
  <c r="F34" i="95"/>
  <c r="F30" i="95"/>
  <c r="F85" i="95"/>
  <c r="F70" i="95"/>
  <c r="F54" i="95"/>
  <c r="F53" i="95"/>
  <c r="F25" i="95"/>
  <c r="F89" i="95"/>
  <c r="F32" i="95"/>
  <c r="F28" i="95"/>
  <c r="L12" i="95"/>
  <c r="N12" i="95" s="1"/>
  <c r="F93" i="95"/>
  <c r="F79" i="95"/>
  <c r="F59" i="95"/>
  <c r="F58" i="95"/>
  <c r="F43" i="95"/>
  <c r="F39" i="95"/>
  <c r="F83" i="95"/>
  <c r="F69" i="95"/>
  <c r="F48" i="95"/>
  <c r="F42" i="95"/>
  <c r="F33" i="95"/>
  <c r="F86" i="95"/>
  <c r="F80" i="95"/>
  <c r="F84" i="95"/>
  <c r="F78" i="95"/>
  <c r="F75" i="95"/>
  <c r="F31" i="95"/>
  <c r="F81" i="95"/>
  <c r="F63" i="95"/>
  <c r="F40" i="95"/>
  <c r="F26" i="95"/>
  <c r="F72" i="95"/>
  <c r="F67" i="95"/>
  <c r="F29" i="95"/>
  <c r="F87" i="95"/>
  <c r="F56" i="95"/>
  <c r="F46" i="95"/>
  <c r="F21" i="95"/>
  <c r="F18" i="95"/>
  <c r="F76" i="95"/>
  <c r="F60" i="95"/>
  <c r="F41" i="95"/>
  <c r="F38" i="95"/>
  <c r="F27" i="95"/>
  <c r="F82" i="95"/>
  <c r="F65" i="95"/>
  <c r="F61" i="95"/>
  <c r="F57" i="95"/>
  <c r="F47" i="95"/>
  <c r="F66" i="95"/>
  <c r="F55" i="95"/>
  <c r="F37" i="95"/>
  <c r="D23" i="95"/>
  <c r="F64" i="95"/>
  <c r="F62" i="95"/>
  <c r="F51" i="95"/>
  <c r="F20" i="95"/>
  <c r="F77" i="95"/>
  <c r="F35" i="95"/>
  <c r="F45" i="95"/>
  <c r="F71" i="95"/>
  <c r="F19" i="95"/>
  <c r="F52" i="95"/>
  <c r="F68" i="95"/>
  <c r="F36" i="95"/>
  <c r="F44" i="95"/>
  <c r="D81" i="93"/>
  <c r="Z20" i="85"/>
  <c r="T28" i="85"/>
  <c r="F23" i="82"/>
  <c r="R20" i="85"/>
  <c r="J32" i="85"/>
  <c r="H35" i="85"/>
  <c r="Z76" i="83"/>
  <c r="T80" i="83"/>
  <c r="F74" i="68"/>
  <c r="F29" i="68"/>
  <c r="F27" i="68"/>
  <c r="F72" i="68"/>
  <c r="F24" i="68"/>
  <c r="L12" i="68"/>
  <c r="N12" i="68" s="1"/>
  <c r="F76" i="68"/>
  <c r="F42" i="68"/>
  <c r="F38" i="68"/>
  <c r="F69" i="68"/>
  <c r="F65" i="68"/>
  <c r="F64" i="68"/>
  <c r="F45" i="68"/>
  <c r="F35" i="68"/>
  <c r="F59" i="68"/>
  <c r="F58" i="68"/>
  <c r="F53" i="68"/>
  <c r="F52" i="68"/>
  <c r="F48" i="68"/>
  <c r="F39" i="68"/>
  <c r="F77" i="68"/>
  <c r="F73" i="68"/>
  <c r="F32" i="68"/>
  <c r="F85" i="68"/>
  <c r="F43" i="68"/>
  <c r="F40" i="68"/>
  <c r="F70" i="68"/>
  <c r="F66" i="68"/>
  <c r="F61" i="68"/>
  <c r="F60" i="68"/>
  <c r="F55" i="68"/>
  <c r="F54" i="68"/>
  <c r="F46" i="68"/>
  <c r="F36" i="68"/>
  <c r="F25" i="68"/>
  <c r="F79" i="68"/>
  <c r="F78" i="68"/>
  <c r="F49" i="68"/>
  <c r="F33" i="68"/>
  <c r="F71" i="68"/>
  <c r="F67" i="68"/>
  <c r="F22" i="68"/>
  <c r="F41" i="68"/>
  <c r="F37" i="68"/>
  <c r="F68" i="68"/>
  <c r="F62" i="68"/>
  <c r="F56" i="68"/>
  <c r="F50" i="68"/>
  <c r="F47" i="68"/>
  <c r="F44" i="68"/>
  <c r="D27" i="68"/>
  <c r="F23" i="68"/>
  <c r="F75" i="68"/>
  <c r="F34" i="68"/>
  <c r="F81" i="68"/>
  <c r="F63" i="68"/>
  <c r="F57" i="68"/>
  <c r="F51" i="68"/>
  <c r="F31" i="68"/>
  <c r="F30" i="68"/>
  <c r="P60" i="61"/>
  <c r="X16" i="61"/>
  <c r="T67" i="59"/>
  <c r="Z16" i="59"/>
  <c r="X16" i="55"/>
  <c r="P31" i="55"/>
  <c r="Z17" i="48"/>
  <c r="V17" i="48"/>
  <c r="T69" i="48"/>
  <c r="L17" i="57"/>
  <c r="H223" i="18"/>
  <c r="J117" i="18"/>
  <c r="T27" i="112"/>
  <c r="Z18" i="112"/>
  <c r="H27" i="53"/>
  <c r="N18" i="53"/>
  <c r="X18" i="46"/>
  <c r="P27" i="46"/>
  <c r="H27" i="47"/>
  <c r="N18" i="47"/>
  <c r="L18" i="49"/>
  <c r="D27" i="49"/>
  <c r="D27" i="50"/>
  <c r="L18" i="50"/>
  <c r="H27" i="44"/>
  <c r="N18" i="44"/>
  <c r="T27" i="38"/>
  <c r="Z18" i="38"/>
  <c r="X18" i="32"/>
  <c r="P27" i="32"/>
  <c r="L18" i="38"/>
  <c r="D27" i="38"/>
  <c r="T27" i="34"/>
  <c r="Z18" i="34"/>
  <c r="T27" i="32"/>
  <c r="Z18" i="32"/>
  <c r="H27" i="28"/>
  <c r="N18" i="28"/>
  <c r="T27" i="25"/>
  <c r="Z18" i="25"/>
  <c r="H27" i="19"/>
  <c r="N18" i="19"/>
  <c r="H27" i="23"/>
  <c r="N18" i="23"/>
  <c r="X18" i="16"/>
  <c r="P27" i="16"/>
  <c r="H27" i="17"/>
  <c r="N18" i="17"/>
  <c r="P27" i="20"/>
  <c r="X18" i="20"/>
  <c r="H27" i="13"/>
  <c r="N18" i="13"/>
  <c r="L18" i="13"/>
  <c r="D27" i="13"/>
  <c r="X18" i="14"/>
  <c r="P27" i="14"/>
  <c r="H27" i="14"/>
  <c r="N18" i="14"/>
  <c r="H27" i="11"/>
  <c r="N18" i="11"/>
  <c r="T27" i="7"/>
  <c r="Z18" i="7"/>
  <c r="P73" i="109"/>
  <c r="X69" i="109"/>
  <c r="R69" i="109"/>
  <c r="T24" i="104"/>
  <c r="Z16" i="104"/>
  <c r="H92" i="103"/>
  <c r="F17" i="109"/>
  <c r="V18" i="107"/>
  <c r="T84" i="107"/>
  <c r="Z18" i="107"/>
  <c r="N16" i="102"/>
  <c r="H54" i="102"/>
  <c r="P24" i="108"/>
  <c r="X16" i="108"/>
  <c r="H69" i="109"/>
  <c r="N17" i="109"/>
  <c r="J17" i="109"/>
  <c r="J88" i="103"/>
  <c r="T99" i="105"/>
  <c r="P54" i="102"/>
  <c r="X16" i="102"/>
  <c r="H95" i="95"/>
  <c r="R84" i="97"/>
  <c r="R73" i="97"/>
  <c r="R69" i="97"/>
  <c r="R65" i="97"/>
  <c r="R57" i="97"/>
  <c r="R22" i="97"/>
  <c r="R17" i="97"/>
  <c r="R49" i="97"/>
  <c r="R48" i="97"/>
  <c r="R40" i="97"/>
  <c r="R36" i="97"/>
  <c r="R32" i="97"/>
  <c r="R21" i="97"/>
  <c r="R19" i="97"/>
  <c r="R86" i="97"/>
  <c r="R75" i="97"/>
  <c r="R74" i="97"/>
  <c r="R70" i="97"/>
  <c r="R66" i="97"/>
  <c r="R59" i="97"/>
  <c r="R58" i="97"/>
  <c r="R51" i="97"/>
  <c r="R50" i="97"/>
  <c r="R91" i="97"/>
  <c r="R88" i="97"/>
  <c r="R42" i="97"/>
  <c r="R41" i="97"/>
  <c r="R37" i="97"/>
  <c r="R33" i="97"/>
  <c r="R76" i="97"/>
  <c r="R60" i="97"/>
  <c r="R53" i="97"/>
  <c r="R52" i="97"/>
  <c r="R28" i="97"/>
  <c r="R24" i="97"/>
  <c r="R71" i="97"/>
  <c r="R67" i="97"/>
  <c r="R44" i="97"/>
  <c r="R43" i="97"/>
  <c r="R55" i="97"/>
  <c r="R54" i="97"/>
  <c r="R38" i="97"/>
  <c r="R34" i="97"/>
  <c r="R78" i="97"/>
  <c r="R77" i="97"/>
  <c r="R62" i="97"/>
  <c r="R61" i="97"/>
  <c r="R72" i="97"/>
  <c r="R68" i="97"/>
  <c r="R56" i="97"/>
  <c r="R82" i="97"/>
  <c r="R81" i="97"/>
  <c r="R31" i="97"/>
  <c r="R30" i="97"/>
  <c r="R26" i="97"/>
  <c r="R35" i="97"/>
  <c r="R63" i="97"/>
  <c r="R47" i="97"/>
  <c r="R64" i="97"/>
  <c r="R79" i="97"/>
  <c r="R45" i="97"/>
  <c r="R29" i="97"/>
  <c r="R27" i="97"/>
  <c r="R46" i="97"/>
  <c r="R16" i="97"/>
  <c r="R39" i="97"/>
  <c r="R23" i="97"/>
  <c r="X12" i="97"/>
  <c r="R25" i="97"/>
  <c r="P19" i="97"/>
  <c r="D75" i="94"/>
  <c r="L20" i="94"/>
  <c r="P111" i="84"/>
  <c r="X35" i="84"/>
  <c r="Z35" i="84" s="1"/>
  <c r="T96" i="76"/>
  <c r="H71" i="59"/>
  <c r="N67" i="59"/>
  <c r="N17" i="56"/>
  <c r="H68" i="56"/>
  <c r="J43" i="51"/>
  <c r="D73" i="57"/>
  <c r="F104" i="42"/>
  <c r="F96" i="42"/>
  <c r="F92" i="42"/>
  <c r="F88" i="42"/>
  <c r="F111" i="42"/>
  <c r="F94" i="42"/>
  <c r="F90" i="42"/>
  <c r="F105" i="42"/>
  <c r="F85" i="42"/>
  <c r="F80" i="42"/>
  <c r="F56" i="42"/>
  <c r="F20" i="42"/>
  <c r="F19" i="42"/>
  <c r="F101" i="42"/>
  <c r="F100" i="42"/>
  <c r="F86" i="42"/>
  <c r="F75" i="42"/>
  <c r="F74" i="42"/>
  <c r="F67" i="42"/>
  <c r="F66" i="42"/>
  <c r="F47" i="42"/>
  <c r="F43" i="42"/>
  <c r="F39" i="42"/>
  <c r="F106" i="42"/>
  <c r="F34" i="42"/>
  <c r="F30" i="42"/>
  <c r="F93" i="42"/>
  <c r="F81" i="42"/>
  <c r="F69" i="42"/>
  <c r="F68" i="42"/>
  <c r="F57" i="42"/>
  <c r="F49" i="42"/>
  <c r="F48" i="42"/>
  <c r="F21" i="42"/>
  <c r="F115" i="42"/>
  <c r="F102" i="42"/>
  <c r="F87" i="42"/>
  <c r="F76" i="42"/>
  <c r="F44" i="42"/>
  <c r="F40" i="42"/>
  <c r="F97" i="42"/>
  <c r="F71" i="42"/>
  <c r="F70" i="42"/>
  <c r="F59" i="42"/>
  <c r="F58" i="42"/>
  <c r="F51" i="42"/>
  <c r="F50" i="42"/>
  <c r="F35" i="42"/>
  <c r="F31" i="42"/>
  <c r="F109" i="42"/>
  <c r="F108" i="42"/>
  <c r="F103" i="42"/>
  <c r="F82" i="42"/>
  <c r="F78" i="42"/>
  <c r="F77" i="42"/>
  <c r="F22" i="42"/>
  <c r="L12" i="42"/>
  <c r="N12" i="42" s="1"/>
  <c r="F110" i="42"/>
  <c r="F98" i="42"/>
  <c r="F91" i="42"/>
  <c r="F61" i="42"/>
  <c r="F60" i="42"/>
  <c r="F53" i="42"/>
  <c r="F52" i="42"/>
  <c r="F45" i="42"/>
  <c r="F41" i="42"/>
  <c r="F83" i="42"/>
  <c r="F72" i="42"/>
  <c r="F36" i="42"/>
  <c r="F32" i="42"/>
  <c r="F28" i="42"/>
  <c r="F27" i="42"/>
  <c r="F84" i="42"/>
  <c r="F79" i="42"/>
  <c r="F63" i="42"/>
  <c r="F62" i="42"/>
  <c r="F55" i="42"/>
  <c r="F54" i="42"/>
  <c r="F26" i="42"/>
  <c r="F99" i="42"/>
  <c r="F95" i="42"/>
  <c r="F46" i="42"/>
  <c r="F42" i="42"/>
  <c r="F38" i="42"/>
  <c r="F37" i="42"/>
  <c r="D24" i="42"/>
  <c r="F89" i="42"/>
  <c r="F73" i="42"/>
  <c r="F65" i="42"/>
  <c r="F64" i="42"/>
  <c r="F33" i="42"/>
  <c r="F29" i="42"/>
  <c r="D26" i="54"/>
  <c r="H78" i="33"/>
  <c r="T127" i="36"/>
  <c r="F81" i="24"/>
  <c r="F68" i="24"/>
  <c r="F67" i="24"/>
  <c r="F48" i="24"/>
  <c r="F44" i="24"/>
  <c r="F40" i="24"/>
  <c r="F39" i="24"/>
  <c r="F85" i="24"/>
  <c r="F59" i="24"/>
  <c r="F58" i="24"/>
  <c r="F35" i="24"/>
  <c r="F31" i="24"/>
  <c r="F30" i="24"/>
  <c r="F74" i="24"/>
  <c r="F69" i="24"/>
  <c r="F61" i="24"/>
  <c r="F60" i="24"/>
  <c r="F49" i="24"/>
  <c r="F45" i="24"/>
  <c r="F41" i="24"/>
  <c r="F76" i="24"/>
  <c r="F75" i="24"/>
  <c r="F71" i="24"/>
  <c r="F70" i="24"/>
  <c r="F63" i="24"/>
  <c r="F62" i="24"/>
  <c r="F51" i="24"/>
  <c r="F50" i="24"/>
  <c r="F23" i="24"/>
  <c r="F22" i="24"/>
  <c r="F46" i="24"/>
  <c r="F42" i="24"/>
  <c r="F77" i="24"/>
  <c r="F65" i="24"/>
  <c r="F64" i="24"/>
  <c r="F53" i="24"/>
  <c r="F52" i="24"/>
  <c r="F37" i="24"/>
  <c r="F33" i="24"/>
  <c r="F72" i="24"/>
  <c r="F79" i="24"/>
  <c r="F78" i="24"/>
  <c r="F55" i="24"/>
  <c r="F54" i="24"/>
  <c r="F47" i="24"/>
  <c r="F43" i="24"/>
  <c r="F66" i="24"/>
  <c r="F73" i="24"/>
  <c r="F57" i="24"/>
  <c r="F56" i="24"/>
  <c r="F25" i="24"/>
  <c r="F29" i="24"/>
  <c r="F34" i="24"/>
  <c r="F32" i="24"/>
  <c r="F24" i="24"/>
  <c r="F36" i="24"/>
  <c r="F38" i="24"/>
  <c r="L12" i="24"/>
  <c r="N12" i="24" s="1"/>
  <c r="D27" i="24"/>
  <c r="F27" i="24" s="1"/>
  <c r="H157" i="30"/>
  <c r="P94" i="21"/>
  <c r="X23" i="21"/>
  <c r="Z23" i="21" s="1"/>
  <c r="X17" i="9"/>
  <c r="P102" i="9"/>
  <c r="D109" i="9"/>
  <c r="T27" i="111"/>
  <c r="Z18" i="111"/>
  <c r="H27" i="46"/>
  <c r="N18" i="46"/>
  <c r="N18" i="52"/>
  <c r="H27" i="52"/>
  <c r="H27" i="34"/>
  <c r="N18" i="34"/>
  <c r="L18" i="37"/>
  <c r="D27" i="37"/>
  <c r="T27" i="35"/>
  <c r="Z18" i="35"/>
  <c r="P27" i="35"/>
  <c r="X18" i="35"/>
  <c r="H27" i="25"/>
  <c r="N18" i="25"/>
  <c r="H27" i="16"/>
  <c r="N18" i="16"/>
  <c r="T27" i="19"/>
  <c r="Z18" i="19"/>
  <c r="H27" i="5"/>
  <c r="N18" i="5"/>
  <c r="H27" i="4"/>
  <c r="N18" i="4"/>
  <c r="N24" i="108"/>
  <c r="H28" i="108"/>
  <c r="H88" i="107"/>
  <c r="R71" i="103"/>
  <c r="R84" i="103"/>
  <c r="R58" i="103"/>
  <c r="R57" i="103"/>
  <c r="R33" i="103"/>
  <c r="R29" i="103"/>
  <c r="R90" i="103"/>
  <c r="R83" i="103"/>
  <c r="R79" i="103"/>
  <c r="R60" i="103"/>
  <c r="R59" i="103"/>
  <c r="R48" i="103"/>
  <c r="R47" i="103"/>
  <c r="R43" i="103"/>
  <c r="R39" i="103"/>
  <c r="R74" i="103"/>
  <c r="R75" i="103"/>
  <c r="R62" i="103"/>
  <c r="R45" i="103"/>
  <c r="R35" i="103"/>
  <c r="R30" i="103"/>
  <c r="R27" i="103"/>
  <c r="R86" i="103"/>
  <c r="R82" i="103"/>
  <c r="R72" i="103"/>
  <c r="R66" i="103"/>
  <c r="R53" i="103"/>
  <c r="R42" i="103"/>
  <c r="R21" i="103"/>
  <c r="R18" i="103"/>
  <c r="R49" i="103"/>
  <c r="R70" i="103"/>
  <c r="R50" i="103"/>
  <c r="R80" i="103"/>
  <c r="R78" i="103"/>
  <c r="R67" i="103"/>
  <c r="R54" i="103"/>
  <c r="R40" i="103"/>
  <c r="R36" i="103"/>
  <c r="R28" i="103"/>
  <c r="R19" i="103"/>
  <c r="R76" i="103"/>
  <c r="R63" i="103"/>
  <c r="R46" i="103"/>
  <c r="R37" i="103"/>
  <c r="P23" i="103"/>
  <c r="R23" i="103" s="1"/>
  <c r="R64" i="103"/>
  <c r="R34" i="103"/>
  <c r="R31" i="103"/>
  <c r="R25" i="103"/>
  <c r="R73" i="103"/>
  <c r="R55" i="103"/>
  <c r="R26" i="103"/>
  <c r="R51" i="103"/>
  <c r="R44" i="103"/>
  <c r="R41" i="103"/>
  <c r="R20" i="103"/>
  <c r="R81" i="103"/>
  <c r="R68" i="103"/>
  <c r="R56" i="103"/>
  <c r="R52" i="103"/>
  <c r="R38" i="103"/>
  <c r="R77" i="103"/>
  <c r="R69" i="103"/>
  <c r="R61" i="103"/>
  <c r="X12" i="103"/>
  <c r="Z12" i="103" s="1"/>
  <c r="R32" i="103"/>
  <c r="R65" i="103"/>
  <c r="D22" i="98"/>
  <c r="L16" i="98"/>
  <c r="T84" i="97"/>
  <c r="Z19" i="97"/>
  <c r="H74" i="93"/>
  <c r="N19" i="93"/>
  <c r="P78" i="91"/>
  <c r="X16" i="91"/>
  <c r="H105" i="70"/>
  <c r="D67" i="72"/>
  <c r="L19" i="72"/>
  <c r="N19" i="72" s="1"/>
  <c r="N16" i="58"/>
  <c r="H73" i="58"/>
  <c r="F17" i="48"/>
  <c r="T26" i="54"/>
  <c r="Z22" i="54"/>
  <c r="P26" i="54"/>
  <c r="X22" i="54"/>
  <c r="R43" i="51"/>
  <c r="H98" i="45"/>
  <c r="D98" i="45"/>
  <c r="L23" i="45"/>
  <c r="N23" i="45" s="1"/>
  <c r="F75" i="33"/>
  <c r="F49" i="33"/>
  <c r="F45" i="33"/>
  <c r="F41" i="33"/>
  <c r="F80" i="33"/>
  <c r="F68" i="33"/>
  <c r="F60" i="33"/>
  <c r="F36" i="33"/>
  <c r="F32" i="33"/>
  <c r="L12" i="33"/>
  <c r="N12" i="33" s="1"/>
  <c r="F51" i="33"/>
  <c r="F50" i="33"/>
  <c r="F62" i="33"/>
  <c r="F61" i="33"/>
  <c r="F46" i="33"/>
  <c r="F42" i="33"/>
  <c r="F69" i="33"/>
  <c r="F53" i="33"/>
  <c r="F52" i="33"/>
  <c r="F37" i="33"/>
  <c r="F33" i="33"/>
  <c r="F64" i="33"/>
  <c r="F63" i="33"/>
  <c r="F71" i="33"/>
  <c r="F70" i="33"/>
  <c r="F55" i="33"/>
  <c r="F54" i="33"/>
  <c r="F47" i="33"/>
  <c r="F43" i="33"/>
  <c r="F66" i="33"/>
  <c r="F65" i="33"/>
  <c r="F38" i="33"/>
  <c r="F34" i="33"/>
  <c r="F30" i="33"/>
  <c r="F29" i="33"/>
  <c r="F73" i="33"/>
  <c r="F72" i="33"/>
  <c r="F57" i="33"/>
  <c r="F56" i="33"/>
  <c r="F28" i="33"/>
  <c r="F24" i="33"/>
  <c r="F48" i="33"/>
  <c r="F44" i="33"/>
  <c r="F40" i="33"/>
  <c r="F39" i="33"/>
  <c r="D26" i="33"/>
  <c r="F76" i="33"/>
  <c r="F67" i="33"/>
  <c r="F59" i="33"/>
  <c r="F58" i="33"/>
  <c r="F35" i="33"/>
  <c r="F31" i="33"/>
  <c r="T120" i="42"/>
  <c r="H127" i="36"/>
  <c r="H83" i="24"/>
  <c r="L99" i="12"/>
  <c r="N99" i="12" s="1"/>
  <c r="D207" i="12"/>
  <c r="T241" i="3"/>
  <c r="Z125" i="3"/>
  <c r="L18" i="111"/>
  <c r="D27" i="111"/>
  <c r="X18" i="111"/>
  <c r="P27" i="111"/>
  <c r="T27" i="49"/>
  <c r="Z18" i="49"/>
  <c r="L18" i="43"/>
  <c r="D27" i="43"/>
  <c r="T27" i="23"/>
  <c r="Z18" i="23"/>
  <c r="L18" i="29"/>
  <c r="D27" i="29"/>
  <c r="X18" i="26"/>
  <c r="P27" i="26"/>
  <c r="T27" i="4"/>
  <c r="Z18" i="4"/>
  <c r="T88" i="103"/>
  <c r="Z16" i="100"/>
  <c r="T30" i="100"/>
  <c r="Z16" i="102"/>
  <c r="T54" i="102"/>
  <c r="R89" i="95"/>
  <c r="R70" i="95"/>
  <c r="R54" i="95"/>
  <c r="R83" i="95"/>
  <c r="R82" i="95"/>
  <c r="R78" i="95"/>
  <c r="R67" i="95"/>
  <c r="R66" i="95"/>
  <c r="R47" i="95"/>
  <c r="R46" i="95"/>
  <c r="R42" i="95"/>
  <c r="R38" i="95"/>
  <c r="R84" i="95"/>
  <c r="R73" i="95"/>
  <c r="R72" i="95"/>
  <c r="R68" i="95"/>
  <c r="R49" i="95"/>
  <c r="R48" i="95"/>
  <c r="R20" i="95"/>
  <c r="R87" i="95"/>
  <c r="R64" i="95"/>
  <c r="R63" i="95"/>
  <c r="R36" i="95"/>
  <c r="R35" i="95"/>
  <c r="R31" i="95"/>
  <c r="R27" i="95"/>
  <c r="P23" i="95"/>
  <c r="R53" i="95"/>
  <c r="R40" i="95"/>
  <c r="R26" i="95"/>
  <c r="R81" i="95"/>
  <c r="R76" i="95"/>
  <c r="R34" i="95"/>
  <c r="R21" i="95"/>
  <c r="R79" i="95"/>
  <c r="R50" i="95"/>
  <c r="R41" i="95"/>
  <c r="R32" i="95"/>
  <c r="R85" i="95"/>
  <c r="R65" i="95"/>
  <c r="R61" i="95"/>
  <c r="R57" i="95"/>
  <c r="R51" i="95"/>
  <c r="R44" i="95"/>
  <c r="R19" i="95"/>
  <c r="R77" i="95"/>
  <c r="R23" i="95"/>
  <c r="R93" i="95"/>
  <c r="R80" i="95"/>
  <c r="R74" i="95"/>
  <c r="R71" i="95"/>
  <c r="R69" i="95"/>
  <c r="R62" i="95"/>
  <c r="R33" i="95"/>
  <c r="R28" i="95"/>
  <c r="R55" i="95"/>
  <c r="R39" i="95"/>
  <c r="R37" i="95"/>
  <c r="R60" i="95"/>
  <c r="R18" i="95"/>
  <c r="R75" i="95"/>
  <c r="R43" i="95"/>
  <c r="X12" i="95"/>
  <c r="Z12" i="95" s="1"/>
  <c r="R58" i="95"/>
  <c r="R45" i="95"/>
  <c r="R86" i="95"/>
  <c r="R56" i="95"/>
  <c r="R52" i="95"/>
  <c r="R30" i="95"/>
  <c r="R59" i="95"/>
  <c r="R25" i="95"/>
  <c r="R29" i="95"/>
  <c r="T74" i="93"/>
  <c r="Z19" i="93"/>
  <c r="P78" i="92"/>
  <c r="X18" i="92"/>
  <c r="T78" i="92"/>
  <c r="Z18" i="92"/>
  <c r="L20" i="85"/>
  <c r="N20" i="85" s="1"/>
  <c r="D28" i="85"/>
  <c r="F20" i="85"/>
  <c r="D76" i="83"/>
  <c r="L17" i="83"/>
  <c r="H76" i="79"/>
  <c r="H53" i="82"/>
  <c r="J21" i="79"/>
  <c r="H74" i="72"/>
  <c r="T64" i="61"/>
  <c r="R26" i="36"/>
  <c r="T106" i="27"/>
  <c r="T82" i="33"/>
  <c r="Z65" i="30"/>
  <c r="T153" i="30"/>
  <c r="F101" i="27"/>
  <c r="R76" i="24"/>
  <c r="R36" i="24"/>
  <c r="R32" i="24"/>
  <c r="R71" i="24"/>
  <c r="R64" i="24"/>
  <c r="R63" i="24"/>
  <c r="R52" i="24"/>
  <c r="R51" i="24"/>
  <c r="R78" i="24"/>
  <c r="R77" i="24"/>
  <c r="R65" i="24"/>
  <c r="R54" i="24"/>
  <c r="R53" i="24"/>
  <c r="R37" i="24"/>
  <c r="R79" i="24"/>
  <c r="R56" i="24"/>
  <c r="R55" i="24"/>
  <c r="R47" i="24"/>
  <c r="R43" i="24"/>
  <c r="R81" i="24"/>
  <c r="R67" i="24"/>
  <c r="R66" i="24"/>
  <c r="R39" i="24"/>
  <c r="R38" i="24"/>
  <c r="R34" i="24"/>
  <c r="R73" i="24"/>
  <c r="R58" i="24"/>
  <c r="R57" i="24"/>
  <c r="R30" i="24"/>
  <c r="R68" i="24"/>
  <c r="R85" i="24"/>
  <c r="R60" i="24"/>
  <c r="R59" i="24"/>
  <c r="R75" i="24"/>
  <c r="R74" i="24"/>
  <c r="R70" i="24"/>
  <c r="R69" i="24"/>
  <c r="R62" i="24"/>
  <c r="R61" i="24"/>
  <c r="R50" i="24"/>
  <c r="R49" i="24"/>
  <c r="R45" i="24"/>
  <c r="R41" i="24"/>
  <c r="R22" i="24"/>
  <c r="R42" i="24"/>
  <c r="R72" i="24"/>
  <c r="R40" i="24"/>
  <c r="X12" i="24"/>
  <c r="Z12" i="24" s="1"/>
  <c r="R25" i="24"/>
  <c r="R33" i="24"/>
  <c r="R31" i="24"/>
  <c r="P27" i="24"/>
  <c r="R27" i="24" s="1"/>
  <c r="R48" i="24"/>
  <c r="R35" i="24"/>
  <c r="R23" i="24"/>
  <c r="R46" i="24"/>
  <c r="R29" i="24"/>
  <c r="R44" i="24"/>
  <c r="R24" i="24"/>
  <c r="L95" i="15"/>
  <c r="N95" i="15" s="1"/>
  <c r="D200" i="15"/>
  <c r="L18" i="112"/>
  <c r="D27" i="112"/>
  <c r="L18" i="46"/>
  <c r="D27" i="46"/>
  <c r="D27" i="52"/>
  <c r="L18" i="52"/>
  <c r="T27" i="44"/>
  <c r="Z18" i="44"/>
  <c r="H27" i="41"/>
  <c r="N18" i="41"/>
  <c r="X18" i="34"/>
  <c r="P27" i="34"/>
  <c r="L18" i="22"/>
  <c r="D27" i="22"/>
  <c r="L18" i="17"/>
  <c r="D27" i="17"/>
  <c r="X18" i="8"/>
  <c r="P27" i="8"/>
  <c r="T27" i="10"/>
  <c r="Z18" i="10"/>
  <c r="L18" i="8"/>
  <c r="D27" i="8"/>
  <c r="P27" i="5"/>
  <c r="X18" i="5"/>
  <c r="N16" i="104"/>
  <c r="H24" i="104"/>
  <c r="R43" i="82"/>
  <c r="R39" i="82"/>
  <c r="R45" i="82"/>
  <c r="R41" i="82"/>
  <c r="R37" i="82"/>
  <c r="R18" i="82"/>
  <c r="R42" i="82"/>
  <c r="R38" i="82"/>
  <c r="R51" i="82"/>
  <c r="R20" i="82"/>
  <c r="R34" i="82"/>
  <c r="R25" i="82"/>
  <c r="R40" i="82"/>
  <c r="R35" i="82"/>
  <c r="R47" i="82"/>
  <c r="R32" i="82"/>
  <c r="R29" i="82"/>
  <c r="R26" i="82"/>
  <c r="R21" i="82"/>
  <c r="R36" i="82"/>
  <c r="R33" i="82"/>
  <c r="R30" i="82"/>
  <c r="R27" i="82"/>
  <c r="R19" i="82"/>
  <c r="R44" i="82"/>
  <c r="P23" i="82"/>
  <c r="X12" i="82"/>
  <c r="Z12" i="82" s="1"/>
  <c r="R31" i="82"/>
  <c r="R28" i="82"/>
  <c r="T139" i="74"/>
  <c r="D82" i="75"/>
  <c r="L78" i="75"/>
  <c r="P78" i="75"/>
  <c r="X26" i="75"/>
  <c r="T105" i="70"/>
  <c r="N59" i="69"/>
  <c r="H62" i="69"/>
  <c r="N62" i="69" s="1"/>
  <c r="Z27" i="68"/>
  <c r="T83" i="68"/>
  <c r="P71" i="59"/>
  <c r="X67" i="59"/>
  <c r="X16" i="63"/>
  <c r="P95" i="63"/>
  <c r="P61" i="60"/>
  <c r="P73" i="57"/>
  <c r="X17" i="57"/>
  <c r="L16" i="55"/>
  <c r="D31" i="55"/>
  <c r="F26" i="36"/>
  <c r="R95" i="27"/>
  <c r="R94" i="27"/>
  <c r="R79" i="27"/>
  <c r="R78" i="27"/>
  <c r="R42" i="27"/>
  <c r="R38" i="27"/>
  <c r="R34" i="27"/>
  <c r="R69" i="27"/>
  <c r="R65" i="27"/>
  <c r="R61" i="27"/>
  <c r="R108" i="27"/>
  <c r="R96" i="27"/>
  <c r="R89" i="27"/>
  <c r="R88" i="27"/>
  <c r="R81" i="27"/>
  <c r="R80" i="27"/>
  <c r="R56" i="27"/>
  <c r="R52" i="27"/>
  <c r="R43" i="27"/>
  <c r="R39" i="27"/>
  <c r="R35" i="27"/>
  <c r="R91" i="27"/>
  <c r="R90" i="27"/>
  <c r="R82" i="27"/>
  <c r="R71" i="27"/>
  <c r="R70" i="27"/>
  <c r="R66" i="27"/>
  <c r="R62" i="27"/>
  <c r="R98" i="27"/>
  <c r="R97" i="27"/>
  <c r="R57" i="27"/>
  <c r="R53" i="27"/>
  <c r="R92" i="27"/>
  <c r="R73" i="27"/>
  <c r="R72" i="27"/>
  <c r="R49" i="27"/>
  <c r="R44" i="27"/>
  <c r="R40" i="27"/>
  <c r="R36" i="27"/>
  <c r="R99" i="27"/>
  <c r="R84" i="27"/>
  <c r="R83" i="27"/>
  <c r="R67" i="27"/>
  <c r="R63" i="27"/>
  <c r="R48" i="27"/>
  <c r="R102" i="27"/>
  <c r="R101" i="27"/>
  <c r="R75" i="27"/>
  <c r="R74" i="27"/>
  <c r="R58" i="27"/>
  <c r="R54" i="27"/>
  <c r="R50" i="27"/>
  <c r="P46" i="27"/>
  <c r="X12" i="27"/>
  <c r="Z12" i="27" s="1"/>
  <c r="R103" i="27"/>
  <c r="R93" i="27"/>
  <c r="R86" i="27"/>
  <c r="R85" i="27"/>
  <c r="R41" i="27"/>
  <c r="R37" i="27"/>
  <c r="R104" i="27"/>
  <c r="R77" i="27"/>
  <c r="R76" i="27"/>
  <c r="R68" i="27"/>
  <c r="R64" i="27"/>
  <c r="R33" i="27"/>
  <c r="R87" i="27"/>
  <c r="R60" i="27"/>
  <c r="R59" i="27"/>
  <c r="R55" i="27"/>
  <c r="R51" i="27"/>
  <c r="L65" i="30"/>
  <c r="N65" i="30" s="1"/>
  <c r="D153" i="30"/>
  <c r="T200" i="15"/>
  <c r="Z95" i="15"/>
  <c r="H101" i="21"/>
  <c r="R217" i="18"/>
  <c r="R216" i="18"/>
  <c r="R201" i="18"/>
  <c r="R197" i="18"/>
  <c r="R186" i="18"/>
  <c r="R185" i="18"/>
  <c r="R174" i="18"/>
  <c r="R173" i="18"/>
  <c r="R165" i="18"/>
  <c r="R113" i="18"/>
  <c r="R109" i="18"/>
  <c r="R105" i="18"/>
  <c r="R101" i="18"/>
  <c r="R97" i="18"/>
  <c r="R93" i="18"/>
  <c r="R89" i="18"/>
  <c r="R218" i="18"/>
  <c r="R209" i="18"/>
  <c r="R208" i="18"/>
  <c r="R192" i="18"/>
  <c r="R181" i="18"/>
  <c r="R180" i="18"/>
  <c r="R157" i="18"/>
  <c r="R156" i="18"/>
  <c r="R149" i="18"/>
  <c r="R148" i="18"/>
  <c r="R140" i="18"/>
  <c r="R136" i="18"/>
  <c r="R132" i="18"/>
  <c r="X12" i="18"/>
  <c r="Z12" i="18" s="1"/>
  <c r="R219" i="18"/>
  <c r="R187" i="18"/>
  <c r="R176" i="18"/>
  <c r="R175" i="18"/>
  <c r="R127" i="18"/>
  <c r="R123" i="18"/>
  <c r="R220" i="18"/>
  <c r="R210" i="18"/>
  <c r="R202" i="18"/>
  <c r="R198" i="18"/>
  <c r="R182" i="18"/>
  <c r="R166" i="18"/>
  <c r="R159" i="18"/>
  <c r="R158" i="18"/>
  <c r="R150" i="18"/>
  <c r="R114" i="18"/>
  <c r="R110" i="18"/>
  <c r="R106" i="18"/>
  <c r="R102" i="18"/>
  <c r="R98" i="18"/>
  <c r="R94" i="18"/>
  <c r="R90" i="18"/>
  <c r="R221" i="18"/>
  <c r="R194" i="18"/>
  <c r="R193" i="18"/>
  <c r="R177" i="18"/>
  <c r="R142" i="18"/>
  <c r="R141" i="18"/>
  <c r="R137" i="18"/>
  <c r="R133" i="18"/>
  <c r="R86" i="18"/>
  <c r="R188" i="18"/>
  <c r="R161" i="18"/>
  <c r="R160" i="18"/>
  <c r="R128" i="18"/>
  <c r="R124" i="18"/>
  <c r="R211" i="18"/>
  <c r="R204" i="18"/>
  <c r="R203" i="18"/>
  <c r="R199" i="18"/>
  <c r="R195" i="18"/>
  <c r="R183" i="18"/>
  <c r="R168" i="18"/>
  <c r="R167" i="18"/>
  <c r="R152" i="18"/>
  <c r="R151" i="18"/>
  <c r="R144" i="18"/>
  <c r="R143" i="18"/>
  <c r="R120" i="18"/>
  <c r="R115" i="18"/>
  <c r="R111" i="18"/>
  <c r="R107" i="18"/>
  <c r="R103" i="18"/>
  <c r="R99" i="18"/>
  <c r="R95" i="18"/>
  <c r="R91" i="18"/>
  <c r="R87" i="18"/>
  <c r="R178" i="18"/>
  <c r="R162" i="18"/>
  <c r="R138" i="18"/>
  <c r="R134" i="18"/>
  <c r="R119" i="18"/>
  <c r="R225" i="18"/>
  <c r="R205" i="18"/>
  <c r="R189" i="18"/>
  <c r="R170" i="18"/>
  <c r="R169" i="18"/>
  <c r="R154" i="18"/>
  <c r="R153" i="18"/>
  <c r="R145" i="18"/>
  <c r="R129" i="18"/>
  <c r="R125" i="18"/>
  <c r="R121" i="18"/>
  <c r="P117" i="18"/>
  <c r="R213" i="18"/>
  <c r="R212" i="18"/>
  <c r="R200" i="18"/>
  <c r="R196" i="18"/>
  <c r="R184" i="18"/>
  <c r="R112" i="18"/>
  <c r="R108" i="18"/>
  <c r="R104" i="18"/>
  <c r="R100" i="18"/>
  <c r="R96" i="18"/>
  <c r="R92" i="18"/>
  <c r="R88" i="18"/>
  <c r="R179" i="18"/>
  <c r="R172" i="18"/>
  <c r="R171" i="18"/>
  <c r="R164" i="18"/>
  <c r="R163" i="18"/>
  <c r="R155" i="18"/>
  <c r="R139" i="18"/>
  <c r="R135" i="18"/>
  <c r="R214" i="18"/>
  <c r="R207" i="18"/>
  <c r="R206" i="18"/>
  <c r="R191" i="18"/>
  <c r="R190" i="18"/>
  <c r="R147" i="18"/>
  <c r="R146" i="18"/>
  <c r="R131" i="18"/>
  <c r="R130" i="18"/>
  <c r="R126" i="18"/>
  <c r="R122" i="18"/>
  <c r="R95" i="15"/>
  <c r="R232" i="3"/>
  <c r="X18" i="47"/>
  <c r="P27" i="47"/>
  <c r="H27" i="40"/>
  <c r="N18" i="40"/>
  <c r="L18" i="28"/>
  <c r="D27" i="28"/>
  <c r="L18" i="16"/>
  <c r="D27" i="16"/>
  <c r="T27" i="17"/>
  <c r="Z18" i="17"/>
  <c r="H27" i="8"/>
  <c r="N18" i="8"/>
  <c r="N16" i="98"/>
  <c r="H22" i="98"/>
  <c r="H36" i="88"/>
  <c r="X19" i="93"/>
  <c r="P74" i="93"/>
  <c r="R77" i="87"/>
  <c r="R76" i="87"/>
  <c r="R60" i="87"/>
  <c r="R53" i="87"/>
  <c r="R52" i="87"/>
  <c r="R71" i="87"/>
  <c r="R67" i="87"/>
  <c r="R73" i="87"/>
  <c r="R69" i="87"/>
  <c r="R58" i="87"/>
  <c r="R57" i="87"/>
  <c r="R68" i="87"/>
  <c r="R65" i="87"/>
  <c r="R51" i="87"/>
  <c r="R40" i="87"/>
  <c r="R36" i="87"/>
  <c r="R32" i="87"/>
  <c r="R21" i="87"/>
  <c r="R19" i="87"/>
  <c r="R86" i="87"/>
  <c r="R74" i="87"/>
  <c r="R27" i="87"/>
  <c r="R47" i="87"/>
  <c r="R80" i="87"/>
  <c r="R75" i="87"/>
  <c r="R66" i="87"/>
  <c r="R61" i="87"/>
  <c r="R42" i="87"/>
  <c r="R41" i="87"/>
  <c r="R37" i="87"/>
  <c r="R33" i="87"/>
  <c r="R88" i="87"/>
  <c r="R82" i="87"/>
  <c r="R72" i="87"/>
  <c r="R62" i="87"/>
  <c r="R48" i="87"/>
  <c r="R43" i="87"/>
  <c r="R38" i="87"/>
  <c r="R34" i="87"/>
  <c r="R63" i="87"/>
  <c r="R59" i="87"/>
  <c r="R55" i="87"/>
  <c r="R54" i="87"/>
  <c r="R44" i="87"/>
  <c r="R29" i="87"/>
  <c r="R25" i="87"/>
  <c r="R91" i="87"/>
  <c r="R84" i="87"/>
  <c r="R70" i="87"/>
  <c r="R49" i="87"/>
  <c r="R39" i="87"/>
  <c r="R35" i="87"/>
  <c r="R16" i="87"/>
  <c r="R78" i="87"/>
  <c r="R64" i="87"/>
  <c r="R50" i="87"/>
  <c r="R45" i="87"/>
  <c r="R31" i="87"/>
  <c r="R30" i="87"/>
  <c r="R26" i="87"/>
  <c r="R79" i="87"/>
  <c r="R56" i="87"/>
  <c r="R46" i="87"/>
  <c r="R22" i="87"/>
  <c r="R17" i="87"/>
  <c r="R28" i="87"/>
  <c r="R24" i="87"/>
  <c r="P19" i="87"/>
  <c r="R23" i="87"/>
  <c r="X12" i="87"/>
  <c r="V35" i="84"/>
  <c r="V21" i="79"/>
  <c r="P75" i="80"/>
  <c r="D76" i="79"/>
  <c r="L21" i="79"/>
  <c r="N21" i="79" s="1"/>
  <c r="L26" i="75"/>
  <c r="N26" i="75" s="1"/>
  <c r="P96" i="76"/>
  <c r="X43" i="76"/>
  <c r="Z43" i="76" s="1"/>
  <c r="R43" i="76"/>
  <c r="F98" i="70"/>
  <c r="F97" i="70"/>
  <c r="F82" i="70"/>
  <c r="F66" i="70"/>
  <c r="F62" i="70"/>
  <c r="F68" i="70"/>
  <c r="F64" i="70"/>
  <c r="F60" i="70"/>
  <c r="F59" i="70"/>
  <c r="F107" i="70"/>
  <c r="F95" i="70"/>
  <c r="F94" i="70"/>
  <c r="F81" i="70"/>
  <c r="F75" i="70"/>
  <c r="F56" i="70"/>
  <c r="F40" i="70"/>
  <c r="F86" i="70"/>
  <c r="F69" i="70"/>
  <c r="F37" i="70"/>
  <c r="F100" i="70"/>
  <c r="F91" i="70"/>
  <c r="F90" i="70"/>
  <c r="F63" i="70"/>
  <c r="F51" i="70"/>
  <c r="F101" i="70"/>
  <c r="F77" i="70"/>
  <c r="F76" i="70"/>
  <c r="F71" i="70"/>
  <c r="F70" i="70"/>
  <c r="D45" i="70"/>
  <c r="F41" i="70"/>
  <c r="F34" i="70"/>
  <c r="F57" i="70"/>
  <c r="F54" i="70"/>
  <c r="F47" i="70"/>
  <c r="F96" i="70"/>
  <c r="F87" i="70"/>
  <c r="F67" i="70"/>
  <c r="F49" i="70"/>
  <c r="F48" i="70"/>
  <c r="F38" i="70"/>
  <c r="F102" i="70"/>
  <c r="F92" i="70"/>
  <c r="F79" i="70"/>
  <c r="F78" i="70"/>
  <c r="F73" i="70"/>
  <c r="F72" i="70"/>
  <c r="F61" i="70"/>
  <c r="F35" i="70"/>
  <c r="F103" i="70"/>
  <c r="F83" i="70"/>
  <c r="F52" i="70"/>
  <c r="F42" i="70"/>
  <c r="F55" i="70"/>
  <c r="F39" i="70"/>
  <c r="F93" i="70"/>
  <c r="F88" i="70"/>
  <c r="F84" i="70"/>
  <c r="F58" i="70"/>
  <c r="F80" i="70"/>
  <c r="F74" i="70"/>
  <c r="F65" i="70"/>
  <c r="F89" i="70"/>
  <c r="F85" i="70"/>
  <c r="F53" i="70"/>
  <c r="F33" i="70"/>
  <c r="F32" i="70"/>
  <c r="L12" i="70"/>
  <c r="N12" i="70" s="1"/>
  <c r="F43" i="70"/>
  <c r="F36" i="70"/>
  <c r="F50" i="70"/>
  <c r="R86" i="70"/>
  <c r="R59" i="70"/>
  <c r="R58" i="70"/>
  <c r="R54" i="70"/>
  <c r="R50" i="70"/>
  <c r="R97" i="70"/>
  <c r="R96" i="70"/>
  <c r="R56" i="70"/>
  <c r="R52" i="70"/>
  <c r="R78" i="70"/>
  <c r="R72" i="70"/>
  <c r="R102" i="70"/>
  <c r="R82" i="70"/>
  <c r="R57" i="70"/>
  <c r="R38" i="70"/>
  <c r="R103" i="70"/>
  <c r="R92" i="70"/>
  <c r="R87" i="70"/>
  <c r="R83" i="70"/>
  <c r="R67" i="70"/>
  <c r="R49" i="70"/>
  <c r="R35" i="70"/>
  <c r="R79" i="70"/>
  <c r="R73" i="70"/>
  <c r="R64" i="70"/>
  <c r="R61" i="70"/>
  <c r="R42" i="70"/>
  <c r="R88" i="70"/>
  <c r="R39" i="70"/>
  <c r="R93" i="70"/>
  <c r="R84" i="70"/>
  <c r="R80" i="70"/>
  <c r="R74" i="70"/>
  <c r="R55" i="70"/>
  <c r="R32" i="70"/>
  <c r="R94" i="70"/>
  <c r="R85" i="70"/>
  <c r="R68" i="70"/>
  <c r="R65" i="70"/>
  <c r="R43" i="70"/>
  <c r="R36" i="70"/>
  <c r="R98" i="70"/>
  <c r="R62" i="70"/>
  <c r="R33" i="70"/>
  <c r="R90" i="70"/>
  <c r="R89" i="70"/>
  <c r="R53" i="70"/>
  <c r="R40" i="70"/>
  <c r="R107" i="70"/>
  <c r="R100" i="70"/>
  <c r="R95" i="70"/>
  <c r="R81" i="70"/>
  <c r="R76" i="70"/>
  <c r="R75" i="70"/>
  <c r="R70" i="70"/>
  <c r="R69" i="70"/>
  <c r="R37" i="70"/>
  <c r="R91" i="70"/>
  <c r="R66" i="70"/>
  <c r="R101" i="70"/>
  <c r="R77" i="70"/>
  <c r="R71" i="70"/>
  <c r="R63" i="70"/>
  <c r="R60" i="70"/>
  <c r="R51" i="70"/>
  <c r="R48" i="70"/>
  <c r="R47" i="70"/>
  <c r="R41" i="70"/>
  <c r="R34" i="70"/>
  <c r="P45" i="70"/>
  <c r="X12" i="70"/>
  <c r="Z12" i="70" s="1"/>
  <c r="Z17" i="56"/>
  <c r="T68" i="56"/>
  <c r="X17" i="56"/>
  <c r="L16" i="58"/>
  <c r="D73" i="58"/>
  <c r="T77" i="58"/>
  <c r="Z73" i="58"/>
  <c r="L54" i="60"/>
  <c r="D58" i="60"/>
  <c r="H69" i="48"/>
  <c r="N17" i="48"/>
  <c r="J17" i="48"/>
  <c r="T102" i="45"/>
  <c r="V78" i="33"/>
  <c r="T106" i="9"/>
  <c r="T211" i="12"/>
  <c r="Z16" i="6"/>
  <c r="T22" i="6"/>
  <c r="X22" i="6" s="1"/>
  <c r="H27" i="112"/>
  <c r="N18" i="112"/>
  <c r="L18" i="53"/>
  <c r="D27" i="53"/>
  <c r="X18" i="53"/>
  <c r="P27" i="53"/>
  <c r="X18" i="49"/>
  <c r="P27" i="49"/>
  <c r="T27" i="50"/>
  <c r="Z18" i="50"/>
  <c r="P27" i="50"/>
  <c r="X18" i="50"/>
  <c r="T27" i="40"/>
  <c r="Z18" i="40"/>
  <c r="D27" i="40"/>
  <c r="L18" i="40"/>
  <c r="T27" i="31"/>
  <c r="Z18" i="31"/>
  <c r="L18" i="32"/>
  <c r="D27" i="32"/>
  <c r="L18" i="14"/>
  <c r="D27" i="14"/>
  <c r="L18" i="10"/>
  <c r="D27" i="10"/>
  <c r="X18" i="4"/>
  <c r="P27" i="4"/>
  <c r="X18" i="10"/>
  <c r="P27" i="10"/>
  <c r="H27" i="10"/>
  <c r="N18" i="10"/>
  <c r="T27" i="5"/>
  <c r="Z18" i="5"/>
  <c r="J23" i="105"/>
  <c r="T36" i="101"/>
  <c r="Z16" i="101"/>
  <c r="T73" i="109"/>
  <c r="Z69" i="109"/>
  <c r="D88" i="103"/>
  <c r="L23" i="103"/>
  <c r="N23" i="103" s="1"/>
  <c r="X16" i="100"/>
  <c r="P30" i="100"/>
  <c r="T54" i="99"/>
  <c r="Z16" i="99"/>
  <c r="H54" i="99"/>
  <c r="N16" i="99"/>
  <c r="Z16" i="88"/>
  <c r="T32" i="88"/>
  <c r="D84" i="87"/>
  <c r="L19" i="87"/>
  <c r="T49" i="82"/>
  <c r="R69" i="79"/>
  <c r="R68" i="79"/>
  <c r="R53" i="79"/>
  <c r="R52" i="79"/>
  <c r="R47" i="79"/>
  <c r="R46" i="79"/>
  <c r="R18" i="79"/>
  <c r="R63" i="79"/>
  <c r="R57" i="79"/>
  <c r="R31" i="79"/>
  <c r="R72" i="79"/>
  <c r="R58" i="79"/>
  <c r="R43" i="79"/>
  <c r="R36" i="79"/>
  <c r="R74" i="79"/>
  <c r="R28" i="79"/>
  <c r="R48" i="79"/>
  <c r="R40" i="79"/>
  <c r="R25" i="79"/>
  <c r="R64" i="79"/>
  <c r="R59" i="79"/>
  <c r="R49" i="79"/>
  <c r="R37" i="79"/>
  <c r="R32" i="79"/>
  <c r="R54" i="79"/>
  <c r="R44" i="79"/>
  <c r="R29" i="79"/>
  <c r="R60" i="79"/>
  <c r="R55" i="79"/>
  <c r="R45" i="79"/>
  <c r="R41" i="79"/>
  <c r="R19" i="79"/>
  <c r="R65" i="79"/>
  <c r="R50" i="79"/>
  <c r="R34" i="79"/>
  <c r="R33" i="79"/>
  <c r="R26" i="79"/>
  <c r="R78" i="79"/>
  <c r="R66" i="79"/>
  <c r="R51" i="79"/>
  <c r="R38" i="79"/>
  <c r="R21" i="79"/>
  <c r="R70" i="79"/>
  <c r="R56" i="79"/>
  <c r="R35" i="79"/>
  <c r="R30" i="79"/>
  <c r="P21" i="79"/>
  <c r="R71" i="79"/>
  <c r="R62" i="79"/>
  <c r="R61" i="79"/>
  <c r="R42" i="79"/>
  <c r="R27" i="79"/>
  <c r="R23" i="79"/>
  <c r="R17" i="79"/>
  <c r="R67" i="79"/>
  <c r="R39" i="79"/>
  <c r="R24" i="79"/>
  <c r="X12" i="79"/>
  <c r="Z12" i="79" s="1"/>
  <c r="Z26" i="75"/>
  <c r="T78" i="75"/>
  <c r="V135" i="74"/>
  <c r="Z16" i="63"/>
  <c r="T95" i="63"/>
  <c r="T54" i="60"/>
  <c r="Z16" i="60"/>
  <c r="N16" i="55"/>
  <c r="H31" i="55"/>
  <c r="D55" i="69"/>
  <c r="L17" i="69"/>
  <c r="T35" i="55"/>
  <c r="D74" i="59"/>
  <c r="L71" i="59"/>
  <c r="L16" i="60"/>
  <c r="N16" i="54"/>
  <c r="H22" i="54"/>
  <c r="T118" i="39"/>
  <c r="X26" i="33"/>
  <c r="Z26" i="33" s="1"/>
  <c r="P78" i="33"/>
  <c r="T83" i="24"/>
  <c r="V27" i="24"/>
  <c r="N22" i="6"/>
  <c r="H26" i="6"/>
  <c r="H241" i="3"/>
  <c r="N125" i="3"/>
  <c r="F232" i="3"/>
  <c r="V125" i="3"/>
  <c r="L18" i="47"/>
  <c r="D27" i="47"/>
  <c r="H27" i="49"/>
  <c r="N18" i="49"/>
  <c r="T27" i="41"/>
  <c r="Z18" i="41"/>
  <c r="L18" i="44"/>
  <c r="D27" i="44"/>
  <c r="H27" i="38"/>
  <c r="N18" i="38"/>
  <c r="L18" i="35"/>
  <c r="D27" i="35"/>
  <c r="L18" i="31"/>
  <c r="D27" i="31"/>
  <c r="H27" i="26"/>
  <c r="N18" i="26"/>
  <c r="L18" i="26"/>
  <c r="D27" i="26"/>
  <c r="L18" i="25"/>
  <c r="D27" i="25"/>
  <c r="T27" i="26"/>
  <c r="Z18" i="26"/>
  <c r="H27" i="31"/>
  <c r="N18" i="31"/>
  <c r="L18" i="19"/>
  <c r="D27" i="19"/>
  <c r="T27" i="11"/>
  <c r="Z18" i="11"/>
  <c r="L18" i="5"/>
  <c r="D27" i="5"/>
  <c r="L27" i="5" l="1"/>
  <c r="D31" i="5"/>
  <c r="N27" i="10"/>
  <c r="H31" i="10"/>
  <c r="Z27" i="41"/>
  <c r="T31" i="41"/>
  <c r="V83" i="24"/>
  <c r="T87" i="24"/>
  <c r="D31" i="40"/>
  <c r="L27" i="40"/>
  <c r="T72" i="56"/>
  <c r="Z68" i="56"/>
  <c r="X68" i="56"/>
  <c r="H39" i="88"/>
  <c r="Z27" i="11"/>
  <c r="T31" i="11"/>
  <c r="N27" i="26"/>
  <c r="H31" i="26"/>
  <c r="N27" i="49"/>
  <c r="H31" i="49"/>
  <c r="P82" i="33"/>
  <c r="X78" i="33"/>
  <c r="Z78" i="33" s="1"/>
  <c r="R78" i="33"/>
  <c r="L55" i="69"/>
  <c r="D59" i="69"/>
  <c r="D88" i="87"/>
  <c r="L84" i="87"/>
  <c r="D92" i="103"/>
  <c r="L88" i="103"/>
  <c r="N88" i="103" s="1"/>
  <c r="F88" i="103"/>
  <c r="P31" i="4"/>
  <c r="X27" i="4"/>
  <c r="P84" i="87"/>
  <c r="X19" i="87"/>
  <c r="H26" i="98"/>
  <c r="N22" i="98"/>
  <c r="P31" i="34"/>
  <c r="X27" i="34"/>
  <c r="D204" i="15"/>
  <c r="L200" i="15"/>
  <c r="N200" i="15" s="1"/>
  <c r="F200" i="15"/>
  <c r="T31" i="23"/>
  <c r="Z27" i="23"/>
  <c r="N27" i="25"/>
  <c r="H31" i="25"/>
  <c r="N27" i="46"/>
  <c r="H31" i="46"/>
  <c r="N27" i="19"/>
  <c r="H31" i="19"/>
  <c r="P35" i="55"/>
  <c r="X31" i="55"/>
  <c r="Z31" i="55" s="1"/>
  <c r="L27" i="4"/>
  <c r="D31" i="4"/>
  <c r="X27" i="11"/>
  <c r="P31" i="11"/>
  <c r="H31" i="111"/>
  <c r="N27" i="111"/>
  <c r="L78" i="92"/>
  <c r="N78" i="92" s="1"/>
  <c r="D82" i="92"/>
  <c r="N27" i="20"/>
  <c r="H31" i="20"/>
  <c r="X27" i="40"/>
  <c r="P31" i="40"/>
  <c r="X27" i="41"/>
  <c r="P31" i="41"/>
  <c r="X27" i="112"/>
  <c r="P31" i="112"/>
  <c r="P98" i="45"/>
  <c r="X23" i="45"/>
  <c r="Z23" i="45" s="1"/>
  <c r="L54" i="99"/>
  <c r="N54" i="99" s="1"/>
  <c r="D58" i="99"/>
  <c r="L27" i="19"/>
  <c r="D31" i="19"/>
  <c r="T36" i="88"/>
  <c r="Z27" i="40"/>
  <c r="T31" i="40"/>
  <c r="N27" i="112"/>
  <c r="H31" i="112"/>
  <c r="H73" i="48"/>
  <c r="J69" i="48"/>
  <c r="P100" i="76"/>
  <c r="X96" i="76"/>
  <c r="R96" i="76"/>
  <c r="N27" i="40"/>
  <c r="H31" i="40"/>
  <c r="P31" i="5"/>
  <c r="X27" i="5"/>
  <c r="T67" i="61"/>
  <c r="H56" i="82"/>
  <c r="J53" i="82"/>
  <c r="T82" i="92"/>
  <c r="D31" i="43"/>
  <c r="L27" i="43"/>
  <c r="D78" i="33"/>
  <c r="L26" i="33"/>
  <c r="N26" i="33" s="1"/>
  <c r="N73" i="58"/>
  <c r="H77" i="58"/>
  <c r="N28" i="108"/>
  <c r="H31" i="108"/>
  <c r="N31" i="108" s="1"/>
  <c r="N71" i="59"/>
  <c r="H74" i="59"/>
  <c r="X24" i="108"/>
  <c r="P28" i="108"/>
  <c r="D91" i="95"/>
  <c r="L23" i="95"/>
  <c r="N23" i="95" s="1"/>
  <c r="P118" i="39"/>
  <c r="X27" i="39"/>
  <c r="Z27" i="39" s="1"/>
  <c r="L69" i="109"/>
  <c r="N69" i="109" s="1"/>
  <c r="D73" i="109"/>
  <c r="F69" i="109"/>
  <c r="D31" i="23"/>
  <c r="L27" i="23"/>
  <c r="P31" i="6"/>
  <c r="D223" i="18"/>
  <c r="L117" i="18"/>
  <c r="N117" i="18" s="1"/>
  <c r="D34" i="100"/>
  <c r="L30" i="100"/>
  <c r="J120" i="42"/>
  <c r="Z55" i="69"/>
  <c r="T59" i="69"/>
  <c r="X153" i="30"/>
  <c r="P157" i="30"/>
  <c r="R153" i="30"/>
  <c r="N84" i="87"/>
  <c r="H88" i="87"/>
  <c r="H35" i="55"/>
  <c r="T76" i="109"/>
  <c r="V73" i="109"/>
  <c r="T26" i="6"/>
  <c r="Z22" i="6"/>
  <c r="D61" i="60"/>
  <c r="P105" i="70"/>
  <c r="X45" i="70"/>
  <c r="Z45" i="70" s="1"/>
  <c r="P31" i="47"/>
  <c r="X27" i="47"/>
  <c r="J101" i="21"/>
  <c r="P106" i="27"/>
  <c r="X46" i="27"/>
  <c r="Z46" i="27" s="1"/>
  <c r="P77" i="57"/>
  <c r="X73" i="57"/>
  <c r="L27" i="8"/>
  <c r="D31" i="8"/>
  <c r="H80" i="79"/>
  <c r="N76" i="79"/>
  <c r="J76" i="79"/>
  <c r="T92" i="103"/>
  <c r="V88" i="103"/>
  <c r="H87" i="24"/>
  <c r="J83" i="24"/>
  <c r="P31" i="35"/>
  <c r="X27" i="35"/>
  <c r="Z27" i="111"/>
  <c r="T31" i="111"/>
  <c r="D113" i="42"/>
  <c r="L24" i="42"/>
  <c r="N24" i="42" s="1"/>
  <c r="H58" i="102"/>
  <c r="P76" i="109"/>
  <c r="R73" i="109"/>
  <c r="X73" i="109"/>
  <c r="Z73" i="109" s="1"/>
  <c r="H31" i="13"/>
  <c r="N27" i="13"/>
  <c r="Z27" i="25"/>
  <c r="T31" i="25"/>
  <c r="T31" i="38"/>
  <c r="Z27" i="38"/>
  <c r="N27" i="53"/>
  <c r="H31" i="53"/>
  <c r="T32" i="85"/>
  <c r="V28" i="85"/>
  <c r="P36" i="88"/>
  <c r="X32" i="88"/>
  <c r="Z32" i="88" s="1"/>
  <c r="T31" i="29"/>
  <c r="Z27" i="29"/>
  <c r="L106" i="27"/>
  <c r="D110" i="27"/>
  <c r="F106" i="27"/>
  <c r="X27" i="28"/>
  <c r="P31" i="28"/>
  <c r="L27" i="110"/>
  <c r="D31" i="110"/>
  <c r="H106" i="9"/>
  <c r="L102" i="9"/>
  <c r="N102" i="9" s="1"/>
  <c r="D124" i="36"/>
  <c r="L120" i="36"/>
  <c r="N120" i="36" s="1"/>
  <c r="F120" i="36"/>
  <c r="H100" i="51"/>
  <c r="J96" i="51"/>
  <c r="X27" i="19"/>
  <c r="P31" i="19"/>
  <c r="Z27" i="28"/>
  <c r="T31" i="28"/>
  <c r="L94" i="21"/>
  <c r="N94" i="21" s="1"/>
  <c r="D98" i="21"/>
  <c r="F94" i="21"/>
  <c r="X65" i="74"/>
  <c r="Z65" i="74" s="1"/>
  <c r="P135" i="74"/>
  <c r="N36" i="101"/>
  <c r="H40" i="101"/>
  <c r="L45" i="70"/>
  <c r="N45" i="70" s="1"/>
  <c r="D105" i="70"/>
  <c r="X117" i="18"/>
  <c r="Z117" i="18" s="1"/>
  <c r="P223" i="18"/>
  <c r="R117" i="18"/>
  <c r="N27" i="41"/>
  <c r="H31" i="41"/>
  <c r="P82" i="92"/>
  <c r="X78" i="92"/>
  <c r="Z78" i="92" s="1"/>
  <c r="P91" i="95"/>
  <c r="X23" i="95"/>
  <c r="Z23" i="95" s="1"/>
  <c r="J127" i="36"/>
  <c r="V127" i="36"/>
  <c r="L75" i="94"/>
  <c r="D79" i="94"/>
  <c r="H98" i="95"/>
  <c r="J95" i="95"/>
  <c r="T71" i="59"/>
  <c r="Z67" i="59"/>
  <c r="T83" i="83"/>
  <c r="F23" i="95"/>
  <c r="Z27" i="14"/>
  <c r="T31" i="14"/>
  <c r="L27" i="34"/>
  <c r="D31" i="34"/>
  <c r="P124" i="36"/>
  <c r="X120" i="36"/>
  <c r="Z120" i="36" s="1"/>
  <c r="R120" i="36"/>
  <c r="T71" i="72"/>
  <c r="V67" i="72"/>
  <c r="L54" i="102"/>
  <c r="N54" i="102" s="1"/>
  <c r="D58" i="102"/>
  <c r="J125" i="39"/>
  <c r="T31" i="43"/>
  <c r="Z27" i="43"/>
  <c r="P245" i="3"/>
  <c r="X241" i="3"/>
  <c r="R241" i="3"/>
  <c r="P73" i="48"/>
  <c r="X69" i="48"/>
  <c r="Z69" i="48" s="1"/>
  <c r="R69" i="48"/>
  <c r="H58" i="60"/>
  <c r="N54" i="60"/>
  <c r="T88" i="87"/>
  <c r="L27" i="47"/>
  <c r="D31" i="47"/>
  <c r="Z200" i="15"/>
  <c r="T204" i="15"/>
  <c r="V200" i="15"/>
  <c r="T109" i="70"/>
  <c r="V105" i="70"/>
  <c r="X23" i="82"/>
  <c r="Z23" i="82" s="1"/>
  <c r="P49" i="82"/>
  <c r="T31" i="49"/>
  <c r="Z27" i="49"/>
  <c r="D102" i="45"/>
  <c r="L98" i="45"/>
  <c r="F98" i="45"/>
  <c r="P82" i="91"/>
  <c r="X78" i="91"/>
  <c r="Z78" i="91" s="1"/>
  <c r="N27" i="4"/>
  <c r="H31" i="4"/>
  <c r="Z27" i="35"/>
  <c r="T31" i="35"/>
  <c r="P84" i="97"/>
  <c r="X19" i="97"/>
  <c r="Z27" i="7"/>
  <c r="T31" i="7"/>
  <c r="P31" i="20"/>
  <c r="X27" i="20"/>
  <c r="N27" i="28"/>
  <c r="H31" i="28"/>
  <c r="N27" i="44"/>
  <c r="H31" i="44"/>
  <c r="Z27" i="112"/>
  <c r="T31" i="112"/>
  <c r="T82" i="94"/>
  <c r="L32" i="88"/>
  <c r="N32" i="88" s="1"/>
  <c r="D36" i="88"/>
  <c r="H31" i="22"/>
  <c r="N27" i="22"/>
  <c r="H82" i="75"/>
  <c r="N78" i="75"/>
  <c r="J78" i="75"/>
  <c r="H96" i="105"/>
  <c r="J92" i="105"/>
  <c r="P31" i="37"/>
  <c r="X27" i="37"/>
  <c r="H211" i="12"/>
  <c r="J207" i="12"/>
  <c r="Z27" i="13"/>
  <c r="T31" i="13"/>
  <c r="H31" i="37"/>
  <c r="N27" i="37"/>
  <c r="P117" i="42"/>
  <c r="X113" i="42"/>
  <c r="Z113" i="42" s="1"/>
  <c r="R113" i="42"/>
  <c r="D82" i="91"/>
  <c r="L78" i="91"/>
  <c r="N78" i="91" s="1"/>
  <c r="L24" i="104"/>
  <c r="D28" i="104"/>
  <c r="D31" i="10"/>
  <c r="L27" i="10"/>
  <c r="L27" i="35"/>
  <c r="D31" i="35"/>
  <c r="N27" i="31"/>
  <c r="H31" i="31"/>
  <c r="H26" i="54"/>
  <c r="N22" i="54"/>
  <c r="T82" i="75"/>
  <c r="V78" i="75"/>
  <c r="D31" i="14"/>
  <c r="L27" i="14"/>
  <c r="T214" i="12"/>
  <c r="V211" i="12"/>
  <c r="R45" i="70"/>
  <c r="T99" i="63"/>
  <c r="Z95" i="63"/>
  <c r="Z77" i="58"/>
  <c r="T80" i="58"/>
  <c r="D80" i="79"/>
  <c r="L76" i="79"/>
  <c r="F76" i="79"/>
  <c r="N27" i="8"/>
  <c r="H31" i="8"/>
  <c r="L153" i="30"/>
  <c r="N153" i="30" s="1"/>
  <c r="D157" i="30"/>
  <c r="F153" i="30"/>
  <c r="X95" i="63"/>
  <c r="P99" i="63"/>
  <c r="R23" i="82"/>
  <c r="T31" i="10"/>
  <c r="Z27" i="10"/>
  <c r="T78" i="93"/>
  <c r="X27" i="111"/>
  <c r="P31" i="111"/>
  <c r="V120" i="42"/>
  <c r="L27" i="37"/>
  <c r="D31" i="37"/>
  <c r="X102" i="9"/>
  <c r="Z102" i="9" s="1"/>
  <c r="P106" i="9"/>
  <c r="H82" i="33"/>
  <c r="J78" i="33"/>
  <c r="P58" i="102"/>
  <c r="X54" i="102"/>
  <c r="Z54" i="102" s="1"/>
  <c r="Z84" i="107"/>
  <c r="T88" i="107"/>
  <c r="V84" i="107"/>
  <c r="X60" i="61"/>
  <c r="Z60" i="61" s="1"/>
  <c r="P64" i="61"/>
  <c r="D92" i="105"/>
  <c r="L23" i="105"/>
  <c r="N23" i="105" s="1"/>
  <c r="X27" i="7"/>
  <c r="P31" i="7"/>
  <c r="P31" i="38"/>
  <c r="X27" i="38"/>
  <c r="N27" i="110"/>
  <c r="H31" i="110"/>
  <c r="F117" i="18"/>
  <c r="L69" i="48"/>
  <c r="N69" i="48" s="1"/>
  <c r="D73" i="48"/>
  <c r="F69" i="48"/>
  <c r="H87" i="68"/>
  <c r="J83" i="68"/>
  <c r="T31" i="22"/>
  <c r="Z27" i="22"/>
  <c r="Z27" i="47"/>
  <c r="T31" i="47"/>
  <c r="P100" i="51"/>
  <c r="X96" i="51"/>
  <c r="Z96" i="51" s="1"/>
  <c r="R96" i="51"/>
  <c r="H77" i="57"/>
  <c r="T115" i="84"/>
  <c r="V111" i="84"/>
  <c r="X27" i="22"/>
  <c r="P31" i="22"/>
  <c r="X27" i="43"/>
  <c r="P31" i="43"/>
  <c r="N106" i="27"/>
  <c r="H110" i="27"/>
  <c r="J106" i="27"/>
  <c r="H80" i="83"/>
  <c r="H85" i="92"/>
  <c r="D28" i="108"/>
  <c r="L24" i="108"/>
  <c r="L27" i="31"/>
  <c r="D31" i="31"/>
  <c r="T122" i="39"/>
  <c r="V118" i="39"/>
  <c r="P31" i="50"/>
  <c r="X27" i="50"/>
  <c r="T58" i="60"/>
  <c r="X54" i="60"/>
  <c r="Z54" i="60" s="1"/>
  <c r="Z36" i="101"/>
  <c r="T40" i="101"/>
  <c r="T31" i="50"/>
  <c r="Z27" i="50"/>
  <c r="T31" i="44"/>
  <c r="Z27" i="44"/>
  <c r="Z27" i="26"/>
  <c r="T31" i="26"/>
  <c r="H31" i="38"/>
  <c r="N27" i="38"/>
  <c r="H245" i="3"/>
  <c r="J241" i="3"/>
  <c r="H58" i="99"/>
  <c r="L27" i="32"/>
  <c r="D31" i="32"/>
  <c r="X27" i="49"/>
  <c r="P31" i="49"/>
  <c r="D77" i="58"/>
  <c r="L73" i="58"/>
  <c r="P82" i="75"/>
  <c r="X78" i="75"/>
  <c r="Z78" i="75" s="1"/>
  <c r="R78" i="75"/>
  <c r="X27" i="8"/>
  <c r="P31" i="8"/>
  <c r="T157" i="30"/>
  <c r="Z153" i="30"/>
  <c r="V153" i="30"/>
  <c r="D80" i="83"/>
  <c r="L76" i="83"/>
  <c r="N76" i="83" s="1"/>
  <c r="Z27" i="4"/>
  <c r="T31" i="4"/>
  <c r="H102" i="45"/>
  <c r="N98" i="45"/>
  <c r="J98" i="45"/>
  <c r="H78" i="93"/>
  <c r="L74" i="93"/>
  <c r="N74" i="93" s="1"/>
  <c r="N27" i="5"/>
  <c r="H31" i="5"/>
  <c r="D31" i="54"/>
  <c r="V99" i="105"/>
  <c r="N27" i="11"/>
  <c r="H31" i="11"/>
  <c r="N27" i="17"/>
  <c r="H31" i="17"/>
  <c r="Z27" i="32"/>
  <c r="T31" i="32"/>
  <c r="D31" i="50"/>
  <c r="L27" i="50"/>
  <c r="H227" i="18"/>
  <c r="J223" i="18"/>
  <c r="D83" i="68"/>
  <c r="L27" i="68"/>
  <c r="N27" i="68" s="1"/>
  <c r="L22" i="6"/>
  <c r="D26" i="6"/>
  <c r="X28" i="85"/>
  <c r="Z28" i="85" s="1"/>
  <c r="P32" i="85"/>
  <c r="R28" i="85"/>
  <c r="N75" i="94"/>
  <c r="H79" i="94"/>
  <c r="P31" i="25"/>
  <c r="X27" i="25"/>
  <c r="Z73" i="57"/>
  <c r="T77" i="57"/>
  <c r="Z68" i="80"/>
  <c r="T72" i="80"/>
  <c r="X68" i="80"/>
  <c r="X77" i="58"/>
  <c r="P80" i="58"/>
  <c r="P31" i="23"/>
  <c r="X27" i="23"/>
  <c r="H99" i="63"/>
  <c r="N95" i="63"/>
  <c r="Z27" i="5"/>
  <c r="T31" i="5"/>
  <c r="T109" i="9"/>
  <c r="Z27" i="17"/>
  <c r="T31" i="17"/>
  <c r="L27" i="52"/>
  <c r="D31" i="52"/>
  <c r="X27" i="26"/>
  <c r="P31" i="26"/>
  <c r="D31" i="111"/>
  <c r="L27" i="111"/>
  <c r="F26" i="33"/>
  <c r="L22" i="54"/>
  <c r="T100" i="76"/>
  <c r="Z96" i="76"/>
  <c r="V96" i="76"/>
  <c r="X27" i="16"/>
  <c r="P31" i="16"/>
  <c r="L27" i="49"/>
  <c r="D31" i="49"/>
  <c r="L40" i="101"/>
  <c r="D43" i="101"/>
  <c r="D118" i="39"/>
  <c r="L27" i="39"/>
  <c r="N27" i="39" s="1"/>
  <c r="L49" i="82"/>
  <c r="N49" i="82" s="1"/>
  <c r="D53" i="82"/>
  <c r="F49" i="82"/>
  <c r="D31" i="11"/>
  <c r="L27" i="11"/>
  <c r="X27" i="31"/>
  <c r="P31" i="31"/>
  <c r="P31" i="44"/>
  <c r="X27" i="44"/>
  <c r="L84" i="107"/>
  <c r="N84" i="107" s="1"/>
  <c r="D88" i="107"/>
  <c r="N27" i="32"/>
  <c r="H31" i="32"/>
  <c r="X27" i="110"/>
  <c r="P31" i="110"/>
  <c r="T100" i="51"/>
  <c r="V96" i="51"/>
  <c r="Z27" i="53"/>
  <c r="T31" i="53"/>
  <c r="P207" i="12"/>
  <c r="X99" i="12"/>
  <c r="Z99" i="12" s="1"/>
  <c r="X23" i="105"/>
  <c r="Z23" i="105" s="1"/>
  <c r="P92" i="105"/>
  <c r="Z27" i="20"/>
  <c r="T31" i="20"/>
  <c r="P87" i="68"/>
  <c r="X83" i="68"/>
  <c r="R83" i="68"/>
  <c r="L111" i="84"/>
  <c r="N111" i="84" s="1"/>
  <c r="D115" i="84"/>
  <c r="F111" i="84"/>
  <c r="T95" i="95"/>
  <c r="V91" i="95"/>
  <c r="H34" i="100"/>
  <c r="N30" i="100"/>
  <c r="X27" i="53"/>
  <c r="P31" i="53"/>
  <c r="X74" i="93"/>
  <c r="Z74" i="93" s="1"/>
  <c r="P78" i="93"/>
  <c r="L27" i="16"/>
  <c r="D31" i="16"/>
  <c r="P74" i="59"/>
  <c r="X71" i="59"/>
  <c r="L27" i="17"/>
  <c r="D31" i="17"/>
  <c r="L27" i="46"/>
  <c r="D31" i="46"/>
  <c r="V82" i="33"/>
  <c r="T85" i="33"/>
  <c r="J74" i="72"/>
  <c r="L28" i="85"/>
  <c r="N28" i="85" s="1"/>
  <c r="D32" i="85"/>
  <c r="F28" i="85"/>
  <c r="L67" i="72"/>
  <c r="N67" i="72" s="1"/>
  <c r="D71" i="72"/>
  <c r="T88" i="97"/>
  <c r="Z27" i="19"/>
  <c r="T31" i="19"/>
  <c r="N27" i="34"/>
  <c r="H31" i="34"/>
  <c r="X94" i="21"/>
  <c r="P98" i="21"/>
  <c r="R94" i="21"/>
  <c r="D77" i="57"/>
  <c r="L73" i="57"/>
  <c r="N73" i="57" s="1"/>
  <c r="H95" i="103"/>
  <c r="J92" i="103"/>
  <c r="H31" i="14"/>
  <c r="N27" i="14"/>
  <c r="Z27" i="34"/>
  <c r="T31" i="34"/>
  <c r="T227" i="18"/>
  <c r="V223" i="18"/>
  <c r="R27" i="39"/>
  <c r="H88" i="97"/>
  <c r="T80" i="79"/>
  <c r="V76" i="79"/>
  <c r="X27" i="13"/>
  <c r="P31" i="13"/>
  <c r="L27" i="41"/>
  <c r="D31" i="41"/>
  <c r="D68" i="56"/>
  <c r="L17" i="56"/>
  <c r="D99" i="63"/>
  <c r="L95" i="63"/>
  <c r="P58" i="99"/>
  <c r="X54" i="99"/>
  <c r="Z54" i="99" s="1"/>
  <c r="X27" i="52"/>
  <c r="P31" i="52"/>
  <c r="N26" i="6"/>
  <c r="H31" i="6"/>
  <c r="F45" i="70"/>
  <c r="X27" i="24"/>
  <c r="Z27" i="24" s="1"/>
  <c r="P83" i="24"/>
  <c r="T58" i="102"/>
  <c r="L27" i="29"/>
  <c r="D31" i="29"/>
  <c r="P31" i="54"/>
  <c r="X26" i="54"/>
  <c r="H31" i="52"/>
  <c r="N27" i="52"/>
  <c r="F24" i="42"/>
  <c r="X111" i="84"/>
  <c r="Z111" i="84" s="1"/>
  <c r="P115" i="84"/>
  <c r="R111" i="84"/>
  <c r="X27" i="14"/>
  <c r="P31" i="14"/>
  <c r="D31" i="38"/>
  <c r="L27" i="38"/>
  <c r="T73" i="48"/>
  <c r="V69" i="48"/>
  <c r="J35" i="85"/>
  <c r="D31" i="7"/>
  <c r="L27" i="7"/>
  <c r="L88" i="97"/>
  <c r="D91" i="97"/>
  <c r="N27" i="35"/>
  <c r="H31" i="35"/>
  <c r="Z27" i="110"/>
  <c r="T31" i="110"/>
  <c r="H67" i="61"/>
  <c r="D139" i="74"/>
  <c r="L135" i="74"/>
  <c r="F135" i="74"/>
  <c r="T31" i="52"/>
  <c r="Z27" i="52"/>
  <c r="P204" i="15"/>
  <c r="X200" i="15"/>
  <c r="R200" i="15"/>
  <c r="R23" i="105"/>
  <c r="X27" i="17"/>
  <c r="P31" i="17"/>
  <c r="X67" i="72"/>
  <c r="Z67" i="72" s="1"/>
  <c r="P71" i="72"/>
  <c r="H115" i="84"/>
  <c r="J111" i="84"/>
  <c r="P79" i="94"/>
  <c r="X75" i="94"/>
  <c r="Z75" i="94" s="1"/>
  <c r="R75" i="94"/>
  <c r="P40" i="101"/>
  <c r="X36" i="101"/>
  <c r="L27" i="44"/>
  <c r="D31" i="44"/>
  <c r="T58" i="99"/>
  <c r="L27" i="26"/>
  <c r="D31" i="26"/>
  <c r="P34" i="100"/>
  <c r="X30" i="100"/>
  <c r="Z30" i="100" s="1"/>
  <c r="T105" i="45"/>
  <c r="V102" i="45"/>
  <c r="T38" i="55"/>
  <c r="T53" i="82"/>
  <c r="V49" i="82"/>
  <c r="L27" i="28"/>
  <c r="D31" i="28"/>
  <c r="R46" i="27"/>
  <c r="L82" i="75"/>
  <c r="D85" i="75"/>
  <c r="F82" i="75"/>
  <c r="H28" i="104"/>
  <c r="N24" i="104"/>
  <c r="D31" i="22"/>
  <c r="L27" i="22"/>
  <c r="D31" i="112"/>
  <c r="L27" i="112"/>
  <c r="T110" i="27"/>
  <c r="V106" i="27"/>
  <c r="Z241" i="3"/>
  <c r="T245" i="3"/>
  <c r="V241" i="3"/>
  <c r="H109" i="70"/>
  <c r="J105" i="70"/>
  <c r="D26" i="98"/>
  <c r="L22" i="98"/>
  <c r="X23" i="103"/>
  <c r="Z23" i="103" s="1"/>
  <c r="P88" i="103"/>
  <c r="N27" i="16"/>
  <c r="H31" i="16"/>
  <c r="H160" i="30"/>
  <c r="J157" i="30"/>
  <c r="H72" i="56"/>
  <c r="H31" i="23"/>
  <c r="N27" i="23"/>
  <c r="N27" i="47"/>
  <c r="H31" i="47"/>
  <c r="F27" i="39"/>
  <c r="L84" i="97"/>
  <c r="N84" i="97" s="1"/>
  <c r="Z27" i="8"/>
  <c r="T31" i="8"/>
  <c r="N27" i="29"/>
  <c r="H31" i="29"/>
  <c r="N27" i="50"/>
  <c r="H31" i="50"/>
  <c r="P59" i="69"/>
  <c r="X55" i="69"/>
  <c r="L43" i="51"/>
  <c r="N43" i="51" s="1"/>
  <c r="D96" i="51"/>
  <c r="L60" i="61"/>
  <c r="N60" i="61" s="1"/>
  <c r="D64" i="61"/>
  <c r="X26" i="98"/>
  <c r="P29" i="98"/>
  <c r="X29" i="98" s="1"/>
  <c r="R99" i="12"/>
  <c r="D96" i="76"/>
  <c r="L43" i="76"/>
  <c r="N43" i="76" s="1"/>
  <c r="H100" i="76"/>
  <c r="J96" i="76"/>
  <c r="H207" i="15"/>
  <c r="J204" i="15"/>
  <c r="P31" i="104"/>
  <c r="L27" i="25"/>
  <c r="D31" i="25"/>
  <c r="P76" i="79"/>
  <c r="X21" i="79"/>
  <c r="Z21" i="79" s="1"/>
  <c r="T31" i="31"/>
  <c r="Z27" i="31"/>
  <c r="X27" i="10"/>
  <c r="P31" i="10"/>
  <c r="L27" i="53"/>
  <c r="D31" i="53"/>
  <c r="D35" i="55"/>
  <c r="L31" i="55"/>
  <c r="N31" i="55" s="1"/>
  <c r="Z83" i="68"/>
  <c r="T87" i="68"/>
  <c r="V83" i="68"/>
  <c r="T142" i="74"/>
  <c r="V139" i="74"/>
  <c r="T34" i="100"/>
  <c r="D211" i="12"/>
  <c r="L207" i="12"/>
  <c r="N207" i="12" s="1"/>
  <c r="F207" i="12"/>
  <c r="T31" i="54"/>
  <c r="Z26" i="54"/>
  <c r="H91" i="107"/>
  <c r="J88" i="107"/>
  <c r="D83" i="24"/>
  <c r="L27" i="24"/>
  <c r="N27" i="24" s="1"/>
  <c r="H73" i="109"/>
  <c r="J69" i="109"/>
  <c r="Z24" i="104"/>
  <c r="T28" i="104"/>
  <c r="L27" i="13"/>
  <c r="D31" i="13"/>
  <c r="X27" i="32"/>
  <c r="P31" i="32"/>
  <c r="P31" i="46"/>
  <c r="X27" i="46"/>
  <c r="P88" i="107"/>
  <c r="X84" i="107"/>
  <c r="N27" i="7"/>
  <c r="H31" i="7"/>
  <c r="X27" i="29"/>
  <c r="P31" i="29"/>
  <c r="X80" i="83"/>
  <c r="Z80" i="83" s="1"/>
  <c r="P83" i="83"/>
  <c r="X83" i="83" s="1"/>
  <c r="Z27" i="16"/>
  <c r="T31" i="16"/>
  <c r="H31" i="43"/>
  <c r="N27" i="43"/>
  <c r="D245" i="3"/>
  <c r="L241" i="3"/>
  <c r="N241" i="3" s="1"/>
  <c r="F241" i="3"/>
  <c r="T31" i="37"/>
  <c r="Z27" i="37"/>
  <c r="T31" i="46"/>
  <c r="Z27" i="46"/>
  <c r="T98" i="21"/>
  <c r="Z94" i="21"/>
  <c r="V94" i="21"/>
  <c r="H75" i="80"/>
  <c r="L72" i="80"/>
  <c r="N72" i="80" s="1"/>
  <c r="L27" i="20"/>
  <c r="D31" i="20"/>
  <c r="H139" i="74"/>
  <c r="N135" i="74"/>
  <c r="J135" i="74"/>
  <c r="R65" i="74"/>
  <c r="X24" i="104"/>
  <c r="X59" i="69" l="1"/>
  <c r="P62" i="69"/>
  <c r="Z31" i="19"/>
  <c r="T36" i="19"/>
  <c r="Z36" i="19" s="1"/>
  <c r="T31" i="104"/>
  <c r="Z31" i="104" s="1"/>
  <c r="Z28" i="104"/>
  <c r="H36" i="14"/>
  <c r="N36" i="14" s="1"/>
  <c r="N31" i="14"/>
  <c r="N31" i="7"/>
  <c r="H36" i="7"/>
  <c r="N36" i="7" s="1"/>
  <c r="X31" i="14"/>
  <c r="P36" i="14"/>
  <c r="P103" i="51"/>
  <c r="X100" i="51"/>
  <c r="Z100" i="51" s="1"/>
  <c r="R100" i="51"/>
  <c r="Z31" i="16"/>
  <c r="T36" i="16"/>
  <c r="Z36" i="16" s="1"/>
  <c r="P91" i="107"/>
  <c r="X88" i="107"/>
  <c r="J73" i="109"/>
  <c r="H76" i="109"/>
  <c r="T37" i="100"/>
  <c r="X28" i="104"/>
  <c r="Z31" i="8"/>
  <c r="T36" i="8"/>
  <c r="Z36" i="8" s="1"/>
  <c r="H75" i="56"/>
  <c r="X71" i="72"/>
  <c r="P74" i="72"/>
  <c r="L139" i="74"/>
  <c r="N139" i="74" s="1"/>
  <c r="D142" i="74"/>
  <c r="F139" i="74"/>
  <c r="X115" i="84"/>
  <c r="P118" i="84"/>
  <c r="R115" i="84"/>
  <c r="Z31" i="20"/>
  <c r="T36" i="20"/>
  <c r="Z36" i="20" s="1"/>
  <c r="L31" i="11"/>
  <c r="D36" i="11"/>
  <c r="X31" i="16"/>
  <c r="P36" i="16"/>
  <c r="P36" i="23"/>
  <c r="X31" i="23"/>
  <c r="H82" i="94"/>
  <c r="X31" i="22"/>
  <c r="P36" i="22"/>
  <c r="P36" i="38"/>
  <c r="X31" i="38"/>
  <c r="D36" i="37"/>
  <c r="L31" i="37"/>
  <c r="L80" i="79"/>
  <c r="D83" i="79"/>
  <c r="F80" i="79"/>
  <c r="Z82" i="75"/>
  <c r="T85" i="75"/>
  <c r="V82" i="75"/>
  <c r="D31" i="104"/>
  <c r="L28" i="104"/>
  <c r="H36" i="22"/>
  <c r="N36" i="22" s="1"/>
  <c r="N31" i="22"/>
  <c r="X31" i="20"/>
  <c r="P36" i="20"/>
  <c r="H61" i="60"/>
  <c r="L79" i="94"/>
  <c r="N79" i="94" s="1"/>
  <c r="D82" i="94"/>
  <c r="P95" i="95"/>
  <c r="X91" i="95"/>
  <c r="Z91" i="95" s="1"/>
  <c r="R91" i="95"/>
  <c r="P139" i="74"/>
  <c r="X135" i="74"/>
  <c r="Z135" i="74" s="1"/>
  <c r="R135" i="74"/>
  <c r="X31" i="28"/>
  <c r="P36" i="28"/>
  <c r="T35" i="85"/>
  <c r="V32" i="85"/>
  <c r="P80" i="57"/>
  <c r="X77" i="57"/>
  <c r="L58" i="60"/>
  <c r="N58" i="60" s="1"/>
  <c r="D227" i="18"/>
  <c r="L223" i="18"/>
  <c r="N223" i="18" s="1"/>
  <c r="F223" i="18"/>
  <c r="H80" i="58"/>
  <c r="H36" i="111"/>
  <c r="N36" i="111" s="1"/>
  <c r="N31" i="111"/>
  <c r="T36" i="23"/>
  <c r="Z36" i="23" s="1"/>
  <c r="Z31" i="23"/>
  <c r="N31" i="26"/>
  <c r="H36" i="26"/>
  <c r="N36" i="26" s="1"/>
  <c r="L68" i="56"/>
  <c r="N68" i="56" s="1"/>
  <c r="D72" i="56"/>
  <c r="N31" i="32"/>
  <c r="H36" i="32"/>
  <c r="N36" i="32" s="1"/>
  <c r="T36" i="17"/>
  <c r="Z36" i="17" s="1"/>
  <c r="Z31" i="17"/>
  <c r="N31" i="11"/>
  <c r="H36" i="11"/>
  <c r="N36" i="11" s="1"/>
  <c r="T43" i="101"/>
  <c r="T36" i="22"/>
  <c r="Z36" i="22" s="1"/>
  <c r="Z31" i="22"/>
  <c r="X31" i="7"/>
  <c r="P36" i="7"/>
  <c r="T91" i="107"/>
  <c r="Z88" i="107"/>
  <c r="V88" i="107"/>
  <c r="Z31" i="10"/>
  <c r="T36" i="10"/>
  <c r="Z36" i="10" s="1"/>
  <c r="Z80" i="58"/>
  <c r="D39" i="88"/>
  <c r="L39" i="88" s="1"/>
  <c r="L36" i="88"/>
  <c r="N36" i="88" s="1"/>
  <c r="Z31" i="7"/>
  <c r="T36" i="7"/>
  <c r="Z36" i="7" s="1"/>
  <c r="L102" i="45"/>
  <c r="D105" i="45"/>
  <c r="F102" i="45"/>
  <c r="N31" i="53"/>
  <c r="H36" i="53"/>
  <c r="N36" i="53" s="1"/>
  <c r="H61" i="102"/>
  <c r="X31" i="6"/>
  <c r="D95" i="95"/>
  <c r="L91" i="95"/>
  <c r="N91" i="95" s="1"/>
  <c r="F91" i="95"/>
  <c r="Z31" i="40"/>
  <c r="T36" i="40"/>
  <c r="Z36" i="40" s="1"/>
  <c r="X31" i="41"/>
  <c r="P36" i="41"/>
  <c r="X31" i="11"/>
  <c r="P36" i="11"/>
  <c r="L32" i="85"/>
  <c r="N32" i="85" s="1"/>
  <c r="D35" i="85"/>
  <c r="F32" i="85"/>
  <c r="X92" i="105"/>
  <c r="Z92" i="105" s="1"/>
  <c r="P96" i="105"/>
  <c r="R92" i="105"/>
  <c r="N102" i="45"/>
  <c r="H105" i="45"/>
  <c r="J102" i="45"/>
  <c r="X82" i="75"/>
  <c r="P85" i="75"/>
  <c r="R82" i="75"/>
  <c r="N245" i="3"/>
  <c r="H250" i="3"/>
  <c r="J245" i="3"/>
  <c r="L28" i="108"/>
  <c r="D31" i="108"/>
  <c r="L31" i="108" s="1"/>
  <c r="H214" i="12"/>
  <c r="J211" i="12"/>
  <c r="T207" i="15"/>
  <c r="V204" i="15"/>
  <c r="Z31" i="14"/>
  <c r="T36" i="14"/>
  <c r="Z36" i="14" s="1"/>
  <c r="X82" i="92"/>
  <c r="P85" i="92"/>
  <c r="H90" i="24"/>
  <c r="J87" i="24"/>
  <c r="P110" i="27"/>
  <c r="X106" i="27"/>
  <c r="Z106" i="27" s="1"/>
  <c r="R106" i="27"/>
  <c r="Z26" i="6"/>
  <c r="T31" i="6"/>
  <c r="X26" i="6"/>
  <c r="P36" i="5"/>
  <c r="X31" i="5"/>
  <c r="X35" i="55"/>
  <c r="Z35" i="55" s="1"/>
  <c r="P38" i="55"/>
  <c r="X38" i="55" s="1"/>
  <c r="D95" i="103"/>
  <c r="L92" i="103"/>
  <c r="N92" i="103" s="1"/>
  <c r="F92" i="103"/>
  <c r="Z31" i="11"/>
  <c r="T36" i="11"/>
  <c r="Z36" i="11" s="1"/>
  <c r="D87" i="24"/>
  <c r="L83" i="24"/>
  <c r="N83" i="24" s="1"/>
  <c r="F83" i="24"/>
  <c r="L64" i="61"/>
  <c r="N64" i="61" s="1"/>
  <c r="D67" i="61"/>
  <c r="L67" i="61" s="1"/>
  <c r="T56" i="82"/>
  <c r="V53" i="82"/>
  <c r="L53" i="82"/>
  <c r="N53" i="82" s="1"/>
  <c r="D56" i="82"/>
  <c r="F53" i="82"/>
  <c r="Z38" i="55"/>
  <c r="Z31" i="4"/>
  <c r="T36" i="4"/>
  <c r="Z36" i="4" s="1"/>
  <c r="N26" i="54"/>
  <c r="H31" i="54"/>
  <c r="N31" i="41"/>
  <c r="H36" i="41"/>
  <c r="N36" i="41" s="1"/>
  <c r="L98" i="21"/>
  <c r="N98" i="21" s="1"/>
  <c r="D101" i="21"/>
  <c r="F98" i="21"/>
  <c r="H103" i="51"/>
  <c r="J100" i="51"/>
  <c r="L110" i="27"/>
  <c r="D113" i="27"/>
  <c r="F110" i="27"/>
  <c r="D82" i="33"/>
  <c r="L78" i="33"/>
  <c r="N78" i="33" s="1"/>
  <c r="F78" i="33"/>
  <c r="N31" i="40"/>
  <c r="H36" i="40"/>
  <c r="N36" i="40" s="1"/>
  <c r="N31" i="19"/>
  <c r="H36" i="19"/>
  <c r="N36" i="19" s="1"/>
  <c r="D207" i="15"/>
  <c r="L204" i="15"/>
  <c r="N204" i="15" s="1"/>
  <c r="F204" i="15"/>
  <c r="Z31" i="41"/>
  <c r="T36" i="41"/>
  <c r="Z36" i="41" s="1"/>
  <c r="D36" i="112"/>
  <c r="L31" i="112"/>
  <c r="T230" i="18"/>
  <c r="V227" i="18"/>
  <c r="V142" i="74"/>
  <c r="N67" i="61"/>
  <c r="L31" i="22"/>
  <c r="D36" i="22"/>
  <c r="P101" i="21"/>
  <c r="X98" i="21"/>
  <c r="R98" i="21"/>
  <c r="D91" i="107"/>
  <c r="L91" i="107" s="1"/>
  <c r="L88" i="107"/>
  <c r="N88" i="107" s="1"/>
  <c r="D87" i="68"/>
  <c r="L83" i="68"/>
  <c r="N83" i="68" s="1"/>
  <c r="F83" i="68"/>
  <c r="H90" i="68"/>
  <c r="J87" i="68"/>
  <c r="X99" i="63"/>
  <c r="P102" i="63"/>
  <c r="T74" i="72"/>
  <c r="Z71" i="72"/>
  <c r="V71" i="72"/>
  <c r="X31" i="29"/>
  <c r="P36" i="29"/>
  <c r="X31" i="32"/>
  <c r="P36" i="32"/>
  <c r="N91" i="107"/>
  <c r="J91" i="107"/>
  <c r="T36" i="31"/>
  <c r="Z36" i="31" s="1"/>
  <c r="Z31" i="31"/>
  <c r="D100" i="51"/>
  <c r="L96" i="51"/>
  <c r="N96" i="51" s="1"/>
  <c r="F96" i="51"/>
  <c r="J160" i="30"/>
  <c r="H36" i="52"/>
  <c r="N36" i="52" s="1"/>
  <c r="N31" i="52"/>
  <c r="N31" i="6"/>
  <c r="X31" i="13"/>
  <c r="P36" i="13"/>
  <c r="T98" i="95"/>
  <c r="V95" i="95"/>
  <c r="T103" i="76"/>
  <c r="V100" i="76"/>
  <c r="N31" i="38"/>
  <c r="H36" i="38"/>
  <c r="N36" i="38" s="1"/>
  <c r="Z115" i="84"/>
  <c r="T118" i="84"/>
  <c r="V115" i="84"/>
  <c r="X58" i="102"/>
  <c r="P61" i="102"/>
  <c r="Z99" i="63"/>
  <c r="T102" i="63"/>
  <c r="N31" i="31"/>
  <c r="H36" i="31"/>
  <c r="N36" i="31" s="1"/>
  <c r="P36" i="37"/>
  <c r="X31" i="37"/>
  <c r="P88" i="97"/>
  <c r="X84" i="97"/>
  <c r="Z84" i="97" s="1"/>
  <c r="T36" i="38"/>
  <c r="Z36" i="38" s="1"/>
  <c r="Z31" i="38"/>
  <c r="T95" i="103"/>
  <c r="V92" i="103"/>
  <c r="L31" i="23"/>
  <c r="D36" i="23"/>
  <c r="X28" i="108"/>
  <c r="P31" i="108"/>
  <c r="X31" i="108" s="1"/>
  <c r="T39" i="88"/>
  <c r="Z36" i="88"/>
  <c r="L88" i="87"/>
  <c r="D91" i="87"/>
  <c r="T61" i="99"/>
  <c r="J207" i="15"/>
  <c r="X31" i="17"/>
  <c r="P36" i="17"/>
  <c r="L31" i="41"/>
  <c r="D36" i="41"/>
  <c r="H37" i="100"/>
  <c r="P36" i="46"/>
  <c r="X31" i="46"/>
  <c r="T250" i="3"/>
  <c r="V245" i="3"/>
  <c r="Z31" i="110"/>
  <c r="T36" i="110"/>
  <c r="Z36" i="110" s="1"/>
  <c r="X80" i="58"/>
  <c r="T36" i="49"/>
  <c r="Z36" i="49" s="1"/>
  <c r="Z31" i="49"/>
  <c r="X31" i="40"/>
  <c r="P36" i="40"/>
  <c r="T36" i="46"/>
  <c r="Z36" i="46" s="1"/>
  <c r="Z31" i="46"/>
  <c r="T90" i="68"/>
  <c r="V87" i="68"/>
  <c r="N31" i="16"/>
  <c r="H36" i="16"/>
  <c r="N36" i="16" s="1"/>
  <c r="H31" i="104"/>
  <c r="N31" i="104" s="1"/>
  <c r="N28" i="104"/>
  <c r="X40" i="101"/>
  <c r="Z40" i="101" s="1"/>
  <c r="P43" i="101"/>
  <c r="X43" i="101" s="1"/>
  <c r="N31" i="35"/>
  <c r="H36" i="35"/>
  <c r="N36" i="35" s="1"/>
  <c r="Z31" i="34"/>
  <c r="T36" i="34"/>
  <c r="Z36" i="34" s="1"/>
  <c r="N31" i="34"/>
  <c r="H36" i="34"/>
  <c r="N36" i="34" s="1"/>
  <c r="L31" i="16"/>
  <c r="D36" i="16"/>
  <c r="X207" i="12"/>
  <c r="Z207" i="12" s="1"/>
  <c r="P211" i="12"/>
  <c r="R207" i="12"/>
  <c r="L118" i="39"/>
  <c r="N118" i="39" s="1"/>
  <c r="D122" i="39"/>
  <c r="F118" i="39"/>
  <c r="L26" i="54"/>
  <c r="D80" i="58"/>
  <c r="L80" i="58" s="1"/>
  <c r="L77" i="58"/>
  <c r="N77" i="58" s="1"/>
  <c r="Z31" i="26"/>
  <c r="T36" i="26"/>
  <c r="Z36" i="26" s="1"/>
  <c r="T61" i="60"/>
  <c r="X58" i="60"/>
  <c r="Z58" i="60" s="1"/>
  <c r="Z31" i="112"/>
  <c r="T36" i="112"/>
  <c r="Z36" i="112" s="1"/>
  <c r="Z31" i="35"/>
  <c r="T36" i="35"/>
  <c r="Z36" i="35" s="1"/>
  <c r="Z31" i="28"/>
  <c r="T36" i="28"/>
  <c r="Z36" i="28" s="1"/>
  <c r="Z31" i="25"/>
  <c r="T36" i="25"/>
  <c r="Z36" i="25" s="1"/>
  <c r="D117" i="42"/>
  <c r="L113" i="42"/>
  <c r="N113" i="42" s="1"/>
  <c r="F113" i="42"/>
  <c r="V76" i="109"/>
  <c r="D36" i="43"/>
  <c r="L31" i="43"/>
  <c r="L31" i="19"/>
  <c r="D36" i="19"/>
  <c r="N31" i="20"/>
  <c r="H36" i="20"/>
  <c r="N36" i="20" s="1"/>
  <c r="N31" i="46"/>
  <c r="H36" i="46"/>
  <c r="N36" i="46" s="1"/>
  <c r="P36" i="34"/>
  <c r="X31" i="34"/>
  <c r="L59" i="69"/>
  <c r="D62" i="69"/>
  <c r="L62" i="69" s="1"/>
  <c r="N39" i="88"/>
  <c r="H36" i="10"/>
  <c r="N36" i="10" s="1"/>
  <c r="N31" i="10"/>
  <c r="P36" i="10"/>
  <c r="X31" i="10"/>
  <c r="H112" i="70"/>
  <c r="J109" i="70"/>
  <c r="L77" i="57"/>
  <c r="D80" i="57"/>
  <c r="L80" i="57" s="1"/>
  <c r="T101" i="21"/>
  <c r="V98" i="21"/>
  <c r="Z98" i="21"/>
  <c r="D36" i="44"/>
  <c r="L31" i="44"/>
  <c r="X32" i="85"/>
  <c r="Z32" i="85" s="1"/>
  <c r="P35" i="85"/>
  <c r="R32" i="85"/>
  <c r="D85" i="91"/>
  <c r="L85" i="91" s="1"/>
  <c r="N85" i="91" s="1"/>
  <c r="L82" i="91"/>
  <c r="N82" i="91" s="1"/>
  <c r="P76" i="48"/>
  <c r="X73" i="48"/>
  <c r="Z73" i="48" s="1"/>
  <c r="R73" i="48"/>
  <c r="T62" i="69"/>
  <c r="Z62" i="69" s="1"/>
  <c r="Z59" i="69"/>
  <c r="H142" i="74"/>
  <c r="J139" i="74"/>
  <c r="T36" i="37"/>
  <c r="Z36" i="37" s="1"/>
  <c r="Z31" i="37"/>
  <c r="L31" i="13"/>
  <c r="D36" i="13"/>
  <c r="X76" i="79"/>
  <c r="Z76" i="79" s="1"/>
  <c r="P80" i="79"/>
  <c r="R76" i="79"/>
  <c r="H103" i="76"/>
  <c r="J100" i="76"/>
  <c r="N31" i="47"/>
  <c r="H36" i="47"/>
  <c r="N36" i="47" s="1"/>
  <c r="V105" i="45"/>
  <c r="V73" i="48"/>
  <c r="T76" i="48"/>
  <c r="X31" i="54"/>
  <c r="X31" i="52"/>
  <c r="P36" i="52"/>
  <c r="V85" i="33"/>
  <c r="Z31" i="53"/>
  <c r="T36" i="53"/>
  <c r="Z36" i="53" s="1"/>
  <c r="T75" i="80"/>
  <c r="X72" i="80"/>
  <c r="Z72" i="80" s="1"/>
  <c r="H230" i="18"/>
  <c r="J227" i="18"/>
  <c r="L31" i="54"/>
  <c r="L80" i="83"/>
  <c r="N80" i="83" s="1"/>
  <c r="D83" i="83"/>
  <c r="X31" i="49"/>
  <c r="P36" i="49"/>
  <c r="H83" i="83"/>
  <c r="N77" i="57"/>
  <c r="H80" i="57"/>
  <c r="L73" i="48"/>
  <c r="D76" i="48"/>
  <c r="F73" i="48"/>
  <c r="D96" i="105"/>
  <c r="L92" i="105"/>
  <c r="N92" i="105" s="1"/>
  <c r="F92" i="105"/>
  <c r="X31" i="111"/>
  <c r="P36" i="111"/>
  <c r="L157" i="30"/>
  <c r="N157" i="30" s="1"/>
  <c r="D160" i="30"/>
  <c r="F157" i="30"/>
  <c r="L31" i="35"/>
  <c r="D36" i="35"/>
  <c r="X117" i="42"/>
  <c r="Z117" i="42" s="1"/>
  <c r="P120" i="42"/>
  <c r="R117" i="42"/>
  <c r="L31" i="47"/>
  <c r="D36" i="47"/>
  <c r="P250" i="3"/>
  <c r="X245" i="3"/>
  <c r="Z245" i="3" s="1"/>
  <c r="R245" i="3"/>
  <c r="P127" i="36"/>
  <c r="X124" i="36"/>
  <c r="Z124" i="36" s="1"/>
  <c r="R124" i="36"/>
  <c r="Z83" i="83"/>
  <c r="X223" i="18"/>
  <c r="Z223" i="18" s="1"/>
  <c r="P227" i="18"/>
  <c r="R223" i="18"/>
  <c r="L124" i="36"/>
  <c r="N124" i="36" s="1"/>
  <c r="D127" i="36"/>
  <c r="F124" i="36"/>
  <c r="T36" i="29"/>
  <c r="Z36" i="29" s="1"/>
  <c r="Z31" i="29"/>
  <c r="Z31" i="111"/>
  <c r="T36" i="111"/>
  <c r="Z36" i="111" s="1"/>
  <c r="P36" i="47"/>
  <c r="X31" i="47"/>
  <c r="L73" i="109"/>
  <c r="N73" i="109" s="1"/>
  <c r="D76" i="109"/>
  <c r="F73" i="109"/>
  <c r="L31" i="29"/>
  <c r="D36" i="29"/>
  <c r="T83" i="79"/>
  <c r="V80" i="79"/>
  <c r="L115" i="84"/>
  <c r="D118" i="84"/>
  <c r="F115" i="84"/>
  <c r="Z31" i="5"/>
  <c r="T36" i="5"/>
  <c r="Z36" i="5" s="1"/>
  <c r="L26" i="6"/>
  <c r="D31" i="6"/>
  <c r="L31" i="6" s="1"/>
  <c r="N31" i="5"/>
  <c r="H36" i="5"/>
  <c r="N36" i="5" s="1"/>
  <c r="P36" i="50"/>
  <c r="X31" i="50"/>
  <c r="V214" i="12"/>
  <c r="H99" i="105"/>
  <c r="J96" i="105"/>
  <c r="H36" i="44"/>
  <c r="N36" i="44" s="1"/>
  <c r="N31" i="44"/>
  <c r="N31" i="4"/>
  <c r="H36" i="4"/>
  <c r="N36" i="4" s="1"/>
  <c r="X49" i="82"/>
  <c r="Z49" i="82" s="1"/>
  <c r="P53" i="82"/>
  <c r="R49" i="82"/>
  <c r="L31" i="34"/>
  <c r="D36" i="34"/>
  <c r="H38" i="55"/>
  <c r="T85" i="92"/>
  <c r="Z82" i="92"/>
  <c r="P103" i="76"/>
  <c r="X100" i="76"/>
  <c r="Z100" i="76" s="1"/>
  <c r="R100" i="76"/>
  <c r="L58" i="99"/>
  <c r="D61" i="99"/>
  <c r="L61" i="99" s="1"/>
  <c r="L82" i="92"/>
  <c r="N82" i="92" s="1"/>
  <c r="D85" i="92"/>
  <c r="L85" i="92" s="1"/>
  <c r="N85" i="92" s="1"/>
  <c r="N31" i="25"/>
  <c r="H36" i="25"/>
  <c r="N36" i="25" s="1"/>
  <c r="N26" i="98"/>
  <c r="H29" i="98"/>
  <c r="N29" i="98" s="1"/>
  <c r="L31" i="5"/>
  <c r="D36" i="5"/>
  <c r="F85" i="75"/>
  <c r="D36" i="111"/>
  <c r="L31" i="111"/>
  <c r="D36" i="50"/>
  <c r="L31" i="50"/>
  <c r="L31" i="32"/>
  <c r="D36" i="32"/>
  <c r="Z31" i="44"/>
  <c r="T36" i="44"/>
  <c r="Z36" i="44" s="1"/>
  <c r="N110" i="27"/>
  <c r="H113" i="27"/>
  <c r="J110" i="27"/>
  <c r="T81" i="93"/>
  <c r="N31" i="8"/>
  <c r="H36" i="8"/>
  <c r="N36" i="8" s="1"/>
  <c r="H36" i="37"/>
  <c r="N36" i="37" s="1"/>
  <c r="N31" i="37"/>
  <c r="T91" i="87"/>
  <c r="T36" i="43"/>
  <c r="Z36" i="43" s="1"/>
  <c r="Z31" i="43"/>
  <c r="Z71" i="59"/>
  <c r="T74" i="59"/>
  <c r="D109" i="70"/>
  <c r="L105" i="70"/>
  <c r="N105" i="70" s="1"/>
  <c r="F105" i="70"/>
  <c r="P39" i="88"/>
  <c r="X39" i="88" s="1"/>
  <c r="X36" i="88"/>
  <c r="H36" i="13"/>
  <c r="N36" i="13" s="1"/>
  <c r="N31" i="13"/>
  <c r="N80" i="79"/>
  <c r="J80" i="79"/>
  <c r="H83" i="79"/>
  <c r="N88" i="87"/>
  <c r="H91" i="87"/>
  <c r="D37" i="100"/>
  <c r="L37" i="100" s="1"/>
  <c r="L34" i="100"/>
  <c r="N34" i="100" s="1"/>
  <c r="Z72" i="56"/>
  <c r="T75" i="56"/>
  <c r="X72" i="56"/>
  <c r="D36" i="20"/>
  <c r="L31" i="20"/>
  <c r="L91" i="97"/>
  <c r="D100" i="76"/>
  <c r="L96" i="76"/>
  <c r="N96" i="76" s="1"/>
  <c r="F96" i="76"/>
  <c r="D36" i="38"/>
  <c r="L31" i="38"/>
  <c r="X31" i="44"/>
  <c r="P36" i="44"/>
  <c r="L245" i="3"/>
  <c r="D250" i="3"/>
  <c r="F245" i="3"/>
  <c r="X58" i="99"/>
  <c r="Z58" i="99" s="1"/>
  <c r="P61" i="99"/>
  <c r="X61" i="99" s="1"/>
  <c r="P36" i="31"/>
  <c r="X31" i="31"/>
  <c r="Z31" i="32"/>
  <c r="T36" i="32"/>
  <c r="Z36" i="32" s="1"/>
  <c r="D36" i="10"/>
  <c r="L31" i="10"/>
  <c r="N31" i="28"/>
  <c r="H36" i="28"/>
  <c r="N36" i="28" s="1"/>
  <c r="X31" i="19"/>
  <c r="P36" i="19"/>
  <c r="H109" i="9"/>
  <c r="N106" i="9"/>
  <c r="L106" i="9"/>
  <c r="P36" i="35"/>
  <c r="X31" i="35"/>
  <c r="L31" i="8"/>
  <c r="D36" i="8"/>
  <c r="P122" i="39"/>
  <c r="X118" i="39"/>
  <c r="Z118" i="39" s="1"/>
  <c r="R118" i="39"/>
  <c r="L31" i="4"/>
  <c r="D36" i="4"/>
  <c r="X84" i="87"/>
  <c r="Z84" i="87" s="1"/>
  <c r="P88" i="87"/>
  <c r="P85" i="33"/>
  <c r="X82" i="33"/>
  <c r="Z82" i="33" s="1"/>
  <c r="R82" i="33"/>
  <c r="L74" i="59"/>
  <c r="N74" i="59" s="1"/>
  <c r="X204" i="15"/>
  <c r="Z204" i="15" s="1"/>
  <c r="P207" i="15"/>
  <c r="R204" i="15"/>
  <c r="P81" i="93"/>
  <c r="X78" i="93"/>
  <c r="Z78" i="93" s="1"/>
  <c r="D38" i="55"/>
  <c r="L38" i="55" s="1"/>
  <c r="L35" i="55"/>
  <c r="N35" i="55" s="1"/>
  <c r="P82" i="94"/>
  <c r="X79" i="94"/>
  <c r="Z79" i="94" s="1"/>
  <c r="R79" i="94"/>
  <c r="Z77" i="57"/>
  <c r="T80" i="57"/>
  <c r="L31" i="25"/>
  <c r="D36" i="25"/>
  <c r="H36" i="23"/>
  <c r="N36" i="23" s="1"/>
  <c r="N31" i="23"/>
  <c r="P37" i="100"/>
  <c r="X37" i="100" s="1"/>
  <c r="X34" i="100"/>
  <c r="Z34" i="100" s="1"/>
  <c r="L31" i="46"/>
  <c r="D36" i="46"/>
  <c r="X31" i="26"/>
  <c r="P36" i="26"/>
  <c r="T160" i="30"/>
  <c r="V157" i="30"/>
  <c r="N31" i="110"/>
  <c r="H36" i="110"/>
  <c r="N36" i="110" s="1"/>
  <c r="Z31" i="13"/>
  <c r="T36" i="13"/>
  <c r="Z36" i="13" s="1"/>
  <c r="N73" i="48"/>
  <c r="H76" i="48"/>
  <c r="J73" i="48"/>
  <c r="D214" i="12"/>
  <c r="L211" i="12"/>
  <c r="N211" i="12" s="1"/>
  <c r="F211" i="12"/>
  <c r="N31" i="29"/>
  <c r="H36" i="29"/>
  <c r="N36" i="29" s="1"/>
  <c r="L26" i="98"/>
  <c r="D29" i="98"/>
  <c r="L31" i="28"/>
  <c r="D36" i="28"/>
  <c r="L31" i="26"/>
  <c r="D36" i="26"/>
  <c r="N88" i="97"/>
  <c r="H91" i="97"/>
  <c r="T91" i="97"/>
  <c r="L31" i="49"/>
  <c r="D36" i="49"/>
  <c r="H102" i="63"/>
  <c r="X31" i="8"/>
  <c r="P36" i="8"/>
  <c r="N58" i="99"/>
  <c r="H61" i="99"/>
  <c r="Z31" i="50"/>
  <c r="T36" i="50"/>
  <c r="Z36" i="50" s="1"/>
  <c r="T125" i="39"/>
  <c r="V122" i="39"/>
  <c r="P36" i="43"/>
  <c r="X31" i="43"/>
  <c r="Z31" i="47"/>
  <c r="T36" i="47"/>
  <c r="Z36" i="47" s="1"/>
  <c r="X64" i="61"/>
  <c r="Z64" i="61" s="1"/>
  <c r="P67" i="61"/>
  <c r="X67" i="61" s="1"/>
  <c r="Z67" i="61" s="1"/>
  <c r="P109" i="9"/>
  <c r="X109" i="9" s="1"/>
  <c r="Z109" i="9" s="1"/>
  <c r="X106" i="9"/>
  <c r="Z106" i="9" s="1"/>
  <c r="D36" i="14"/>
  <c r="L31" i="14"/>
  <c r="N82" i="75"/>
  <c r="H85" i="75"/>
  <c r="J82" i="75"/>
  <c r="X82" i="91"/>
  <c r="Z82" i="91" s="1"/>
  <c r="P85" i="91"/>
  <c r="X85" i="91" s="1"/>
  <c r="Z85" i="91" s="1"/>
  <c r="T112" i="70"/>
  <c r="V109" i="70"/>
  <c r="J98" i="95"/>
  <c r="N40" i="101"/>
  <c r="H43" i="101"/>
  <c r="L43" i="101" s="1"/>
  <c r="L31" i="110"/>
  <c r="D36" i="110"/>
  <c r="P109" i="70"/>
  <c r="X105" i="70"/>
  <c r="Z105" i="70" s="1"/>
  <c r="R105" i="70"/>
  <c r="J56" i="82"/>
  <c r="P102" i="45"/>
  <c r="X98" i="45"/>
  <c r="Z98" i="45" s="1"/>
  <c r="R98" i="45"/>
  <c r="N31" i="49"/>
  <c r="H36" i="49"/>
  <c r="N36" i="49" s="1"/>
  <c r="D36" i="40"/>
  <c r="L31" i="40"/>
  <c r="Z31" i="54"/>
  <c r="P92" i="103"/>
  <c r="X88" i="103"/>
  <c r="Z88" i="103" s="1"/>
  <c r="R88" i="103"/>
  <c r="H36" i="50"/>
  <c r="N36" i="50" s="1"/>
  <c r="N31" i="50"/>
  <c r="T36" i="52"/>
  <c r="Z36" i="52" s="1"/>
  <c r="Z31" i="52"/>
  <c r="T61" i="102"/>
  <c r="Z58" i="102"/>
  <c r="T103" i="51"/>
  <c r="V100" i="51"/>
  <c r="H85" i="33"/>
  <c r="J82" i="33"/>
  <c r="L75" i="80"/>
  <c r="N75" i="80" s="1"/>
  <c r="H36" i="43"/>
  <c r="N36" i="43" s="1"/>
  <c r="N31" i="43"/>
  <c r="L31" i="53"/>
  <c r="D36" i="53"/>
  <c r="X31" i="104"/>
  <c r="T113" i="27"/>
  <c r="V110" i="27"/>
  <c r="N115" i="84"/>
  <c r="H118" i="84"/>
  <c r="J115" i="84"/>
  <c r="D36" i="7"/>
  <c r="L31" i="7"/>
  <c r="X83" i="24"/>
  <c r="Z83" i="24" s="1"/>
  <c r="P87" i="24"/>
  <c r="R83" i="24"/>
  <c r="D102" i="63"/>
  <c r="L99" i="63"/>
  <c r="N99" i="63" s="1"/>
  <c r="J95" i="103"/>
  <c r="L71" i="72"/>
  <c r="N71" i="72" s="1"/>
  <c r="D74" i="72"/>
  <c r="L74" i="72" s="1"/>
  <c r="N74" i="72" s="1"/>
  <c r="L31" i="17"/>
  <c r="D36" i="17"/>
  <c r="X31" i="53"/>
  <c r="P36" i="53"/>
  <c r="X87" i="68"/>
  <c r="Z87" i="68" s="1"/>
  <c r="P90" i="68"/>
  <c r="R87" i="68"/>
  <c r="X31" i="110"/>
  <c r="P36" i="110"/>
  <c r="L31" i="52"/>
  <c r="D36" i="52"/>
  <c r="P36" i="25"/>
  <c r="X31" i="25"/>
  <c r="N31" i="17"/>
  <c r="H36" i="17"/>
  <c r="N36" i="17" s="1"/>
  <c r="H81" i="93"/>
  <c r="N78" i="93"/>
  <c r="L78" i="93"/>
  <c r="D36" i="31"/>
  <c r="L31" i="31"/>
  <c r="L58" i="102"/>
  <c r="N58" i="102" s="1"/>
  <c r="D61" i="102"/>
  <c r="L61" i="102" s="1"/>
  <c r="X76" i="109"/>
  <c r="Z76" i="109" s="1"/>
  <c r="R76" i="109"/>
  <c r="L61" i="60"/>
  <c r="P160" i="30"/>
  <c r="X157" i="30"/>
  <c r="Z157" i="30" s="1"/>
  <c r="R157" i="30"/>
  <c r="N31" i="112"/>
  <c r="H36" i="112"/>
  <c r="N36" i="112" s="1"/>
  <c r="X31" i="112"/>
  <c r="P36" i="112"/>
  <c r="P36" i="4"/>
  <c r="X31" i="4"/>
  <c r="V87" i="24"/>
  <c r="T90" i="24"/>
  <c r="X36" i="110" l="1"/>
  <c r="L36" i="7"/>
  <c r="L36" i="14"/>
  <c r="X36" i="31"/>
  <c r="L36" i="31"/>
  <c r="X36" i="10"/>
  <c r="L36" i="40"/>
  <c r="L36" i="10"/>
  <c r="X36" i="112"/>
  <c r="L36" i="41"/>
  <c r="L36" i="35"/>
  <c r="X36" i="53"/>
  <c r="X36" i="8"/>
  <c r="L36" i="28"/>
  <c r="X36" i="34"/>
  <c r="L36" i="52"/>
  <c r="X36" i="19"/>
  <c r="L36" i="110"/>
  <c r="L36" i="50"/>
  <c r="L36" i="19"/>
  <c r="L36" i="111"/>
  <c r="L36" i="8"/>
  <c r="L36" i="32"/>
  <c r="L36" i="4"/>
  <c r="L36" i="49"/>
  <c r="X36" i="44"/>
  <c r="L36" i="26"/>
  <c r="L36" i="37"/>
  <c r="X36" i="26"/>
  <c r="X36" i="40"/>
  <c r="X36" i="35"/>
  <c r="L36" i="38"/>
  <c r="L36" i="23"/>
  <c r="L36" i="22"/>
  <c r="X36" i="28"/>
  <c r="L36" i="53"/>
  <c r="L36" i="25"/>
  <c r="L36" i="20"/>
  <c r="X36" i="111"/>
  <c r="X36" i="7"/>
  <c r="X36" i="20"/>
  <c r="X87" i="24"/>
  <c r="Z87" i="24" s="1"/>
  <c r="P90" i="24"/>
  <c r="R87" i="24"/>
  <c r="L81" i="93"/>
  <c r="N81" i="93" s="1"/>
  <c r="V160" i="30"/>
  <c r="J85" i="75"/>
  <c r="L109" i="70"/>
  <c r="N109" i="70" s="1"/>
  <c r="D112" i="70"/>
  <c r="F109" i="70"/>
  <c r="J99" i="105"/>
  <c r="X36" i="25"/>
  <c r="J118" i="84"/>
  <c r="L36" i="46"/>
  <c r="X82" i="94"/>
  <c r="Z82" i="94" s="1"/>
  <c r="R82" i="94"/>
  <c r="X88" i="87"/>
  <c r="Z88" i="87" s="1"/>
  <c r="P91" i="87"/>
  <c r="X91" i="87" s="1"/>
  <c r="N113" i="27"/>
  <c r="J113" i="27"/>
  <c r="N80" i="57"/>
  <c r="J103" i="76"/>
  <c r="X61" i="60"/>
  <c r="Z61" i="60" s="1"/>
  <c r="L36" i="16"/>
  <c r="X36" i="46"/>
  <c r="X36" i="13"/>
  <c r="V207" i="15"/>
  <c r="X36" i="11"/>
  <c r="Z35" i="85"/>
  <c r="V35" i="85"/>
  <c r="L82" i="94"/>
  <c r="N82" i="94" s="1"/>
  <c r="L31" i="104"/>
  <c r="X118" i="84"/>
  <c r="R118" i="84"/>
  <c r="Z37" i="100"/>
  <c r="N109" i="9"/>
  <c r="L109" i="9"/>
  <c r="D103" i="76"/>
  <c r="L100" i="76"/>
  <c r="N100" i="76" s="1"/>
  <c r="F100" i="76"/>
  <c r="J83" i="79"/>
  <c r="V83" i="79"/>
  <c r="X127" i="36"/>
  <c r="Z127" i="36" s="1"/>
  <c r="R127" i="36"/>
  <c r="L160" i="30"/>
  <c r="N160" i="30" s="1"/>
  <c r="F160" i="30"/>
  <c r="X36" i="52"/>
  <c r="Z118" i="84"/>
  <c r="V118" i="84"/>
  <c r="X101" i="21"/>
  <c r="R101" i="21"/>
  <c r="L101" i="21"/>
  <c r="N101" i="21" s="1"/>
  <c r="F101" i="21"/>
  <c r="L95" i="103"/>
  <c r="N95" i="103" s="1"/>
  <c r="F95" i="103"/>
  <c r="L36" i="5"/>
  <c r="X103" i="76"/>
  <c r="R103" i="76"/>
  <c r="X53" i="82"/>
  <c r="Z53" i="82" s="1"/>
  <c r="P56" i="82"/>
  <c r="R53" i="82"/>
  <c r="X36" i="50"/>
  <c r="N37" i="100"/>
  <c r="J90" i="68"/>
  <c r="J105" i="45"/>
  <c r="X36" i="41"/>
  <c r="Z91" i="107"/>
  <c r="V91" i="107"/>
  <c r="V85" i="75"/>
  <c r="J76" i="109"/>
  <c r="X103" i="51"/>
  <c r="R103" i="51"/>
  <c r="J85" i="33"/>
  <c r="P105" i="45"/>
  <c r="X102" i="45"/>
  <c r="Z102" i="45" s="1"/>
  <c r="R102" i="45"/>
  <c r="X75" i="80"/>
  <c r="Z75" i="80" s="1"/>
  <c r="X80" i="79"/>
  <c r="Z80" i="79" s="1"/>
  <c r="P83" i="79"/>
  <c r="R80" i="79"/>
  <c r="L36" i="44"/>
  <c r="X88" i="97"/>
  <c r="Z88" i="97" s="1"/>
  <c r="P91" i="97"/>
  <c r="X91" i="97" s="1"/>
  <c r="Z91" i="97" s="1"/>
  <c r="X36" i="32"/>
  <c r="L36" i="112"/>
  <c r="L82" i="33"/>
  <c r="N82" i="33" s="1"/>
  <c r="D85" i="33"/>
  <c r="F82" i="33"/>
  <c r="V56" i="82"/>
  <c r="X110" i="27"/>
  <c r="Z110" i="27" s="1"/>
  <c r="P113" i="27"/>
  <c r="R110" i="27"/>
  <c r="L105" i="45"/>
  <c r="N105" i="45" s="1"/>
  <c r="F105" i="45"/>
  <c r="N80" i="58"/>
  <c r="L142" i="74"/>
  <c r="F142" i="74"/>
  <c r="V90" i="24"/>
  <c r="L36" i="43"/>
  <c r="Z39" i="88"/>
  <c r="J214" i="12"/>
  <c r="X36" i="23"/>
  <c r="N76" i="48"/>
  <c r="J76" i="48"/>
  <c r="P95" i="103"/>
  <c r="X92" i="103"/>
  <c r="Z92" i="103" s="1"/>
  <c r="R92" i="103"/>
  <c r="Z91" i="87"/>
  <c r="L36" i="29"/>
  <c r="X160" i="30"/>
  <c r="Z160" i="30" s="1"/>
  <c r="R160" i="30"/>
  <c r="Z103" i="51"/>
  <c r="V103" i="51"/>
  <c r="X36" i="49"/>
  <c r="X76" i="48"/>
  <c r="Z76" i="48" s="1"/>
  <c r="R76" i="48"/>
  <c r="L102" i="63"/>
  <c r="N102" i="63" s="1"/>
  <c r="V112" i="70"/>
  <c r="N61" i="99"/>
  <c r="N91" i="97"/>
  <c r="L250" i="3"/>
  <c r="F250" i="3"/>
  <c r="N38" i="55"/>
  <c r="L127" i="36"/>
  <c r="N127" i="36" s="1"/>
  <c r="F127" i="36"/>
  <c r="L36" i="47"/>
  <c r="V76" i="48"/>
  <c r="L36" i="13"/>
  <c r="X36" i="17"/>
  <c r="X36" i="37"/>
  <c r="X36" i="29"/>
  <c r="N31" i="54"/>
  <c r="X36" i="5"/>
  <c r="J90" i="24"/>
  <c r="P99" i="105"/>
  <c r="X96" i="105"/>
  <c r="Z96" i="105" s="1"/>
  <c r="R96" i="105"/>
  <c r="L72" i="56"/>
  <c r="N72" i="56" s="1"/>
  <c r="D75" i="56"/>
  <c r="L75" i="56" s="1"/>
  <c r="N75" i="56" s="1"/>
  <c r="L83" i="79"/>
  <c r="N83" i="79" s="1"/>
  <c r="F83" i="79"/>
  <c r="X36" i="16"/>
  <c r="X74" i="72"/>
  <c r="V125" i="39"/>
  <c r="V113" i="27"/>
  <c r="X81" i="93"/>
  <c r="X250" i="3"/>
  <c r="R250" i="3"/>
  <c r="X36" i="4"/>
  <c r="X90" i="68"/>
  <c r="R90" i="68"/>
  <c r="X207" i="15"/>
  <c r="Z207" i="15" s="1"/>
  <c r="R207" i="15"/>
  <c r="X122" i="39"/>
  <c r="Z122" i="39" s="1"/>
  <c r="P125" i="39"/>
  <c r="R122" i="39"/>
  <c r="X75" i="56"/>
  <c r="Z75" i="56" s="1"/>
  <c r="L83" i="83"/>
  <c r="N83" i="83" s="1"/>
  <c r="Z101" i="21"/>
  <c r="V101" i="21"/>
  <c r="Z90" i="68"/>
  <c r="V90" i="68"/>
  <c r="L87" i="68"/>
  <c r="N87" i="68" s="1"/>
  <c r="D90" i="68"/>
  <c r="F87" i="68"/>
  <c r="N61" i="60"/>
  <c r="X91" i="107"/>
  <c r="L122" i="39"/>
  <c r="N122" i="39" s="1"/>
  <c r="D125" i="39"/>
  <c r="F122" i="39"/>
  <c r="Z103" i="76"/>
  <c r="V103" i="76"/>
  <c r="L113" i="27"/>
  <c r="F113" i="27"/>
  <c r="X85" i="92"/>
  <c r="Z85" i="92" s="1"/>
  <c r="Z43" i="101"/>
  <c r="L227" i="18"/>
  <c r="N227" i="18" s="1"/>
  <c r="D230" i="18"/>
  <c r="F227" i="18"/>
  <c r="L36" i="11"/>
  <c r="X36" i="14"/>
  <c r="X62" i="69"/>
  <c r="P112" i="70"/>
  <c r="X109" i="70"/>
  <c r="Z109" i="70" s="1"/>
  <c r="R109" i="70"/>
  <c r="L76" i="109"/>
  <c r="N76" i="109" s="1"/>
  <c r="F76" i="109"/>
  <c r="X227" i="18"/>
  <c r="Z227" i="18" s="1"/>
  <c r="P230" i="18"/>
  <c r="R227" i="18"/>
  <c r="X120" i="42"/>
  <c r="Z120" i="42" s="1"/>
  <c r="R120" i="42"/>
  <c r="L96" i="105"/>
  <c r="N96" i="105" s="1"/>
  <c r="D99" i="105"/>
  <c r="F96" i="105"/>
  <c r="X35" i="85"/>
  <c r="R35" i="85"/>
  <c r="L207" i="15"/>
  <c r="N207" i="15" s="1"/>
  <c r="F207" i="15"/>
  <c r="L87" i="24"/>
  <c r="N87" i="24" s="1"/>
  <c r="D90" i="24"/>
  <c r="F87" i="24"/>
  <c r="N250" i="3"/>
  <c r="J250" i="3"/>
  <c r="L35" i="85"/>
  <c r="N35" i="85" s="1"/>
  <c r="F35" i="85"/>
  <c r="L95" i="95"/>
  <c r="N95" i="95" s="1"/>
  <c r="D98" i="95"/>
  <c r="F95" i="95"/>
  <c r="P142" i="74"/>
  <c r="X139" i="74"/>
  <c r="Z139" i="74" s="1"/>
  <c r="R139" i="74"/>
  <c r="L117" i="42"/>
  <c r="N117" i="42" s="1"/>
  <c r="D120" i="42"/>
  <c r="F117" i="42"/>
  <c r="Z250" i="3"/>
  <c r="V250" i="3"/>
  <c r="V98" i="95"/>
  <c r="Z74" i="72"/>
  <c r="V74" i="72"/>
  <c r="Z61" i="102"/>
  <c r="Z81" i="93"/>
  <c r="L36" i="17"/>
  <c r="N43" i="101"/>
  <c r="X211" i="12"/>
  <c r="Z211" i="12" s="1"/>
  <c r="P214" i="12"/>
  <c r="R211" i="12"/>
  <c r="V230" i="18"/>
  <c r="J103" i="51"/>
  <c r="N61" i="102"/>
  <c r="X80" i="57"/>
  <c r="Z80" i="57" s="1"/>
  <c r="X36" i="38"/>
  <c r="L118" i="84"/>
  <c r="N118" i="84" s="1"/>
  <c r="F118" i="84"/>
  <c r="L76" i="48"/>
  <c r="F76" i="48"/>
  <c r="N142" i="74"/>
  <c r="J142" i="74"/>
  <c r="J112" i="70"/>
  <c r="Z61" i="99"/>
  <c r="X61" i="102"/>
  <c r="L100" i="51"/>
  <c r="N100" i="51" s="1"/>
  <c r="D103" i="51"/>
  <c r="F100" i="51"/>
  <c r="X36" i="43"/>
  <c r="L29" i="98"/>
  <c r="L214" i="12"/>
  <c r="N214" i="12" s="1"/>
  <c r="F214" i="12"/>
  <c r="X85" i="33"/>
  <c r="Z85" i="33" s="1"/>
  <c r="R85" i="33"/>
  <c r="N91" i="87"/>
  <c r="L85" i="75"/>
  <c r="N85" i="75" s="1"/>
  <c r="L36" i="34"/>
  <c r="X36" i="47"/>
  <c r="J230" i="18"/>
  <c r="L91" i="87"/>
  <c r="V95" i="103"/>
  <c r="X74" i="59"/>
  <c r="Z74" i="59" s="1"/>
  <c r="X102" i="63"/>
  <c r="Z102" i="63" s="1"/>
  <c r="L56" i="82"/>
  <c r="N56" i="82" s="1"/>
  <c r="F56" i="82"/>
  <c r="Z31" i="6"/>
  <c r="X85" i="75"/>
  <c r="Z85" i="75" s="1"/>
  <c r="R85" i="75"/>
  <c r="X95" i="95"/>
  <c r="Z95" i="95" s="1"/>
  <c r="P98" i="95"/>
  <c r="R95" i="95"/>
  <c r="X36" i="22"/>
  <c r="X214" i="12" l="1"/>
  <c r="Z214" i="12" s="1"/>
  <c r="R214" i="12"/>
  <c r="L103" i="51"/>
  <c r="N103" i="51" s="1"/>
  <c r="F103" i="51"/>
  <c r="L85" i="33"/>
  <c r="N85" i="33" s="1"/>
  <c r="F85" i="33"/>
  <c r="L230" i="18"/>
  <c r="N230" i="18" s="1"/>
  <c r="F230" i="18"/>
  <c r="X125" i="39"/>
  <c r="Z125" i="39" s="1"/>
  <c r="R125" i="39"/>
  <c r="X99" i="105"/>
  <c r="Z99" i="105" s="1"/>
  <c r="R99" i="105"/>
  <c r="L103" i="76"/>
  <c r="N103" i="76" s="1"/>
  <c r="F103" i="76"/>
  <c r="L112" i="70"/>
  <c r="N112" i="70" s="1"/>
  <c r="F112" i="70"/>
  <c r="X105" i="45"/>
  <c r="Z105" i="45" s="1"/>
  <c r="R105" i="45"/>
  <c r="X142" i="74"/>
  <c r="Z142" i="74" s="1"/>
  <c r="R142" i="74"/>
  <c r="L90" i="68"/>
  <c r="N90" i="68" s="1"/>
  <c r="F90" i="68"/>
  <c r="L98" i="95"/>
  <c r="N98" i="95" s="1"/>
  <c r="F98" i="95"/>
  <c r="X98" i="95"/>
  <c r="Z98" i="95" s="1"/>
  <c r="R98" i="95"/>
  <c r="X113" i="27"/>
  <c r="Z113" i="27" s="1"/>
  <c r="R113" i="27"/>
  <c r="L99" i="105"/>
  <c r="N99" i="105" s="1"/>
  <c r="F99" i="105"/>
  <c r="X112" i="70"/>
  <c r="Z112" i="70" s="1"/>
  <c r="R112" i="70"/>
  <c r="X83" i="79"/>
  <c r="Z83" i="79" s="1"/>
  <c r="R83" i="79"/>
  <c r="L120" i="42"/>
  <c r="N120" i="42" s="1"/>
  <c r="F120" i="42"/>
  <c r="L125" i="39"/>
  <c r="N125" i="39" s="1"/>
  <c r="F125" i="39"/>
  <c r="L90" i="24"/>
  <c r="N90" i="24" s="1"/>
  <c r="F90" i="24"/>
  <c r="X56" i="82"/>
  <c r="Z56" i="82" s="1"/>
  <c r="R56" i="82"/>
  <c r="X90" i="24"/>
  <c r="Z90" i="24" s="1"/>
  <c r="R90" i="24"/>
  <c r="X230" i="18"/>
  <c r="Z230" i="18" s="1"/>
  <c r="R230" i="18"/>
  <c r="X95" i="103"/>
  <c r="Z95" i="103" s="1"/>
  <c r="R95" i="103"/>
</calcChain>
</file>

<file path=xl/sharedStrings.xml><?xml version="1.0" encoding="utf-8"?>
<sst xmlns="http://schemas.openxmlformats.org/spreadsheetml/2006/main" count="2844" uniqueCount="315">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</sst>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167" fontId="1" fillId="0" borderId="0" xfId="3" applyNumberFormat="1" applyFont="1" applyFill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167" fontId="2" fillId="0" borderId="0" xfId="3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8" fontId="2" fillId="2" borderId="3" xfId="2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4" fontId="2" fillId="0" borderId="0" xfId="1" applyNumberFormat="1" applyFont="1" applyAlignment="1">
      <alignment horizontal="left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167" fontId="0" fillId="0" borderId="0" xfId="0" applyNumberFormat="1" applyFill="1"/>
    <xf numFmtId="49" fontId="1" fillId="0" borderId="0" xfId="0" applyNumberFormat="1" applyFont="1" applyFill="1"/>
    <xf numFmtId="49" fontId="2" fillId="0" borderId="0" xfId="0" applyNumberFormat="1" applyFont="1" applyFill="1"/>
    <xf numFmtId="0" fontId="0" fillId="0" borderId="0" xfId="0" applyFill="1" applyAlignment="1">
      <alignment horizontal="centerContinuous"/>
    </xf>
    <xf numFmtId="0" fontId="3" fillId="0" borderId="0" xfId="0" applyFont="1" applyFill="1"/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0" fontId="2" fillId="0" borderId="0" xfId="0" applyFont="1" applyFill="1" applyBorder="1"/>
    <xf numFmtId="0" fontId="0" fillId="0" borderId="0" xfId="0" applyBorder="1"/>
    <xf numFmtId="0" fontId="4" fillId="0" borderId="0" xfId="0" applyFont="1" applyAlignment="1">
      <alignment horizontal="left"/>
    </xf>
    <xf numFmtId="0" fontId="5" fillId="0" borderId="0" xfId="0" applyFont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306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306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304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304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305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305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55"/>
  <sheetViews>
    <sheetView tabSelected="1" zoomScale="80" workbookViewId="0">
      <pane xSplit="3" ySplit="10" topLeftCell="D22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2210992.2500000005</v>
      </c>
      <c r="E12" s="4"/>
      <c r="F12" s="12"/>
      <c r="G12" s="4"/>
      <c r="H12" s="4">
        <f>SUM(OSRRefH13x_0)</f>
        <v>2773569</v>
      </c>
      <c r="I12" s="4"/>
      <c r="J12" s="12"/>
      <c r="K12" s="4"/>
      <c r="L12" s="4">
        <f t="shared" ref="L12:L90" si="0">+D12-H12</f>
        <v>-562576.74999999953</v>
      </c>
      <c r="M12" s="4"/>
      <c r="N12" s="12">
        <f t="shared" ref="N12:N90" si="1">IF(H12=0,0,L12/H12)</f>
        <v>-0.20283495741407534</v>
      </c>
      <c r="O12" s="10"/>
      <c r="P12" s="4">
        <f>SUM(OSRRefP13x_0)</f>
        <v>2687900.4</v>
      </c>
      <c r="Q12" s="4"/>
      <c r="R12" s="12"/>
      <c r="S12" s="4"/>
      <c r="T12" s="4">
        <f>SUM(OSRRefT13x_0)</f>
        <v>3463926</v>
      </c>
      <c r="U12" s="4"/>
      <c r="V12" s="12"/>
      <c r="W12" s="4"/>
      <c r="X12" s="4">
        <f t="shared" ref="X12:X90" si="2">+P12-T12</f>
        <v>-776025.60000000009</v>
      </c>
      <c r="Y12" s="4"/>
      <c r="Z12" s="12">
        <f t="shared" ref="Z12:Z90" si="3">IF(T12=0,0,X12/T12)</f>
        <v>-0.22403065192501229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-18033.67</f>
        <v>-18033.669999999998</v>
      </c>
      <c r="E13" s="2"/>
      <c r="F13" s="23"/>
      <c r="G13" s="2"/>
      <c r="H13" s="2">
        <v>2416457</v>
      </c>
      <c r="I13" s="2"/>
      <c r="J13" s="23"/>
      <c r="K13" s="2"/>
      <c r="L13" s="2">
        <f t="shared" si="0"/>
        <v>-2434490.67</v>
      </c>
      <c r="M13" s="2"/>
      <c r="N13" s="23">
        <f t="shared" si="1"/>
        <v>-1.0074628557429326</v>
      </c>
      <c r="O13" s="11"/>
      <c r="P13" s="2">
        <f>-29128.04</f>
        <v>-29128.04</v>
      </c>
      <c r="Q13" s="2"/>
      <c r="R13" s="23"/>
      <c r="S13" s="2"/>
      <c r="T13" s="2">
        <v>3040869</v>
      </c>
      <c r="U13" s="2"/>
      <c r="V13" s="23"/>
      <c r="W13" s="2"/>
      <c r="X13" s="2">
        <f t="shared" si="2"/>
        <v>-3069997.04</v>
      </c>
      <c r="Y13" s="2"/>
      <c r="Z13" s="23">
        <f t="shared" si="3"/>
        <v>-1.0095788539394495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23"/>
      <c r="G14" s="2"/>
      <c r="H14" s="2"/>
      <c r="I14" s="2"/>
      <c r="J14" s="23"/>
      <c r="K14" s="2"/>
      <c r="L14" s="2">
        <f t="shared" si="0"/>
        <v>572249.47</v>
      </c>
      <c r="M14" s="2"/>
      <c r="N14" s="23">
        <f t="shared" si="1"/>
        <v>0</v>
      </c>
      <c r="O14" s="11"/>
      <c r="P14" s="2">
        <f>--584197.32</f>
        <v>584197.31999999995</v>
      </c>
      <c r="Q14" s="2"/>
      <c r="R14" s="23"/>
      <c r="S14" s="2"/>
      <c r="T14" s="2"/>
      <c r="U14" s="2"/>
      <c r="V14" s="23"/>
      <c r="W14" s="2"/>
      <c r="X14" s="2">
        <f t="shared" si="2"/>
        <v>584197.31999999995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23"/>
      <c r="G15" s="2"/>
      <c r="H15" s="2"/>
      <c r="I15" s="2"/>
      <c r="J15" s="23"/>
      <c r="K15" s="2"/>
      <c r="L15" s="2">
        <f t="shared" si="0"/>
        <v>265582.82</v>
      </c>
      <c r="M15" s="2"/>
      <c r="N15" s="23">
        <f t="shared" si="1"/>
        <v>0</v>
      </c>
      <c r="O15" s="11"/>
      <c r="P15" s="2">
        <f>--278612.16</f>
        <v>278612.15999999997</v>
      </c>
      <c r="Q15" s="2"/>
      <c r="R15" s="23"/>
      <c r="S15" s="2"/>
      <c r="T15" s="2"/>
      <c r="U15" s="2"/>
      <c r="V15" s="23"/>
      <c r="W15" s="2"/>
      <c r="X15" s="2">
        <f t="shared" si="2"/>
        <v>278612.15999999997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0</f>
        <v>0</v>
      </c>
      <c r="E21" s="2"/>
      <c r="F21" s="23"/>
      <c r="G21" s="2"/>
      <c r="H21" s="2"/>
      <c r="I21" s="2"/>
      <c r="J21" s="23"/>
      <c r="K21" s="2"/>
      <c r="L21" s="2">
        <f t="shared" si="0"/>
        <v>0</v>
      </c>
      <c r="M21" s="2"/>
      <c r="N21" s="23">
        <f t="shared" si="1"/>
        <v>0</v>
      </c>
      <c r="O21" s="11"/>
      <c r="P21" s="2">
        <f>--236.56</f>
        <v>236.56</v>
      </c>
      <c r="Q21" s="2"/>
      <c r="R21" s="23"/>
      <c r="S21" s="2"/>
      <c r="T21" s="2"/>
      <c r="U21" s="2"/>
      <c r="V21" s="23"/>
      <c r="W21" s="2"/>
      <c r="X21" s="2">
        <f t="shared" si="2"/>
        <v>236.56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--20247.89</f>
        <v>20247.89</v>
      </c>
      <c r="E22" s="2"/>
      <c r="F22" s="23"/>
      <c r="G22" s="2"/>
      <c r="H22" s="2"/>
      <c r="I22" s="2"/>
      <c r="J22" s="23"/>
      <c r="K22" s="2"/>
      <c r="L22" s="2">
        <f t="shared" si="0"/>
        <v>20247.89</v>
      </c>
      <c r="M22" s="2"/>
      <c r="N22" s="23">
        <f t="shared" si="1"/>
        <v>0</v>
      </c>
      <c r="O22" s="11"/>
      <c r="P22" s="2">
        <f>--21901.06</f>
        <v>21901.06</v>
      </c>
      <c r="Q22" s="2"/>
      <c r="R22" s="23"/>
      <c r="S22" s="2"/>
      <c r="T22" s="2"/>
      <c r="U22" s="2"/>
      <c r="V22" s="23"/>
      <c r="W22" s="2"/>
      <c r="X22" s="2">
        <f t="shared" si="2"/>
        <v>21901.06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--9671.25</f>
        <v>9671.25</v>
      </c>
      <c r="E23" s="2"/>
      <c r="F23" s="23"/>
      <c r="G23" s="2"/>
      <c r="H23" s="2"/>
      <c r="I23" s="2"/>
      <c r="J23" s="23"/>
      <c r="K23" s="2"/>
      <c r="L23" s="2">
        <f t="shared" si="0"/>
        <v>9671.25</v>
      </c>
      <c r="M23" s="2"/>
      <c r="N23" s="23">
        <f t="shared" si="1"/>
        <v>0</v>
      </c>
      <c r="O23" s="11"/>
      <c r="P23" s="2">
        <f>--9691.1</f>
        <v>9691.1</v>
      </c>
      <c r="Q23" s="2"/>
      <c r="R23" s="23"/>
      <c r="S23" s="2"/>
      <c r="T23" s="2"/>
      <c r="U23" s="2"/>
      <c r="V23" s="23"/>
      <c r="W23" s="2"/>
      <c r="X23" s="2">
        <f t="shared" si="2"/>
        <v>9691.1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--532.51</f>
        <v>532.51</v>
      </c>
      <c r="E24" s="2"/>
      <c r="F24" s="23"/>
      <c r="G24" s="2"/>
      <c r="H24" s="2"/>
      <c r="I24" s="2"/>
      <c r="J24" s="23"/>
      <c r="K24" s="2"/>
      <c r="L24" s="2">
        <f t="shared" si="0"/>
        <v>532.51</v>
      </c>
      <c r="M24" s="2"/>
      <c r="N24" s="23">
        <f t="shared" si="1"/>
        <v>0</v>
      </c>
      <c r="O24" s="11"/>
      <c r="P24" s="2">
        <f>--552.26</f>
        <v>552.26</v>
      </c>
      <c r="Q24" s="2"/>
      <c r="R24" s="23"/>
      <c r="S24" s="2"/>
      <c r="T24" s="2"/>
      <c r="U24" s="2"/>
      <c r="V24" s="23"/>
      <c r="W24" s="2"/>
      <c r="X24" s="2">
        <f t="shared" si="2"/>
        <v>552.26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>--88.2</f>
        <v>88.2</v>
      </c>
      <c r="E25" s="2"/>
      <c r="F25" s="23"/>
      <c r="G25" s="2"/>
      <c r="H25" s="2"/>
      <c r="I25" s="2"/>
      <c r="J25" s="23"/>
      <c r="K25" s="2"/>
      <c r="L25" s="2">
        <f t="shared" si="0"/>
        <v>88.2</v>
      </c>
      <c r="M25" s="2"/>
      <c r="N25" s="23">
        <f t="shared" si="1"/>
        <v>0</v>
      </c>
      <c r="O25" s="11"/>
      <c r="P25" s="2">
        <f>--88.2</f>
        <v>88.2</v>
      </c>
      <c r="Q25" s="2"/>
      <c r="R25" s="23"/>
      <c r="S25" s="2"/>
      <c r="T25" s="2"/>
      <c r="U25" s="2"/>
      <c r="V25" s="23"/>
      <c r="W25" s="2"/>
      <c r="X25" s="2">
        <f t="shared" si="2"/>
        <v>88.2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>0</f>
        <v>0</v>
      </c>
      <c r="E26" s="2"/>
      <c r="F26" s="23"/>
      <c r="G26" s="2"/>
      <c r="H26" s="2"/>
      <c r="I26" s="2"/>
      <c r="J26" s="23"/>
      <c r="K26" s="2"/>
      <c r="L26" s="2">
        <f t="shared" si="0"/>
        <v>0</v>
      </c>
      <c r="M26" s="2"/>
      <c r="N26" s="23">
        <f t="shared" si="1"/>
        <v>0</v>
      </c>
      <c r="O26" s="11"/>
      <c r="P26" s="2">
        <f>--6.78</f>
        <v>6.78</v>
      </c>
      <c r="Q26" s="2"/>
      <c r="R26" s="23"/>
      <c r="S26" s="2"/>
      <c r="T26" s="2"/>
      <c r="U26" s="2"/>
      <c r="V26" s="23"/>
      <c r="W26" s="2"/>
      <c r="X26" s="2">
        <f t="shared" si="2"/>
        <v>6.78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--177286.09</f>
        <v>177286.09</v>
      </c>
      <c r="E27" s="2"/>
      <c r="F27" s="23"/>
      <c r="G27" s="2"/>
      <c r="H27" s="2"/>
      <c r="I27" s="2"/>
      <c r="J27" s="23"/>
      <c r="K27" s="2"/>
      <c r="L27" s="2">
        <f t="shared" si="0"/>
        <v>177286.09</v>
      </c>
      <c r="M27" s="2"/>
      <c r="N27" s="23">
        <f t="shared" si="1"/>
        <v>0</v>
      </c>
      <c r="O27" s="11"/>
      <c r="P27" s="2">
        <f>--249578.35</f>
        <v>249578.35</v>
      </c>
      <c r="Q27" s="2"/>
      <c r="R27" s="23"/>
      <c r="S27" s="2"/>
      <c r="T27" s="2"/>
      <c r="U27" s="2"/>
      <c r="V27" s="23"/>
      <c r="W27" s="2"/>
      <c r="X27" s="2">
        <f t="shared" si="2"/>
        <v>249578.35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--82120.65</f>
        <v>82120.649999999994</v>
      </c>
      <c r="E28" s="2"/>
      <c r="F28" s="23"/>
      <c r="G28" s="2"/>
      <c r="H28" s="2"/>
      <c r="I28" s="2"/>
      <c r="J28" s="23"/>
      <c r="K28" s="2"/>
      <c r="L28" s="2">
        <f t="shared" si="0"/>
        <v>82120.649999999994</v>
      </c>
      <c r="M28" s="2"/>
      <c r="N28" s="23">
        <f t="shared" si="1"/>
        <v>0</v>
      </c>
      <c r="O28" s="11"/>
      <c r="P28" s="2">
        <f>--103309.56</f>
        <v>103309.56</v>
      </c>
      <c r="Q28" s="2"/>
      <c r="R28" s="23"/>
      <c r="S28" s="2"/>
      <c r="T28" s="2"/>
      <c r="U28" s="2"/>
      <c r="V28" s="23"/>
      <c r="W28" s="2"/>
      <c r="X28" s="2">
        <f t="shared" si="2"/>
        <v>103309.56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--30421.14</f>
        <v>30421.14</v>
      </c>
      <c r="E29" s="2"/>
      <c r="F29" s="23"/>
      <c r="G29" s="2"/>
      <c r="H29" s="2"/>
      <c r="I29" s="2"/>
      <c r="J29" s="23"/>
      <c r="K29" s="2"/>
      <c r="L29" s="2">
        <f t="shared" si="0"/>
        <v>30421.14</v>
      </c>
      <c r="M29" s="2"/>
      <c r="N29" s="23">
        <f t="shared" si="1"/>
        <v>0</v>
      </c>
      <c r="O29" s="11"/>
      <c r="P29" s="2">
        <f>--39925.04</f>
        <v>39925.040000000001</v>
      </c>
      <c r="Q29" s="2"/>
      <c r="R29" s="23"/>
      <c r="S29" s="2"/>
      <c r="T29" s="2"/>
      <c r="U29" s="2"/>
      <c r="V29" s="23"/>
      <c r="W29" s="2"/>
      <c r="X29" s="2">
        <f t="shared" si="2"/>
        <v>39925.040000000001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--6768.27</f>
        <v>6768.27</v>
      </c>
      <c r="E30" s="2"/>
      <c r="F30" s="23"/>
      <c r="G30" s="2"/>
      <c r="H30" s="2"/>
      <c r="I30" s="2"/>
      <c r="J30" s="23"/>
      <c r="K30" s="2"/>
      <c r="L30" s="2">
        <f t="shared" si="0"/>
        <v>6768.27</v>
      </c>
      <c r="M30" s="2"/>
      <c r="N30" s="23">
        <f t="shared" si="1"/>
        <v>0</v>
      </c>
      <c r="O30" s="11"/>
      <c r="P30" s="2">
        <f>--6985.63</f>
        <v>6985.63</v>
      </c>
      <c r="Q30" s="2"/>
      <c r="R30" s="23"/>
      <c r="S30" s="2"/>
      <c r="T30" s="2"/>
      <c r="U30" s="2"/>
      <c r="V30" s="23"/>
      <c r="W30" s="2"/>
      <c r="X30" s="2">
        <f t="shared" si="2"/>
        <v>6985.63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--6568.52</f>
        <v>6568.52</v>
      </c>
      <c r="E31" s="2"/>
      <c r="F31" s="23"/>
      <c r="G31" s="2"/>
      <c r="H31" s="2"/>
      <c r="I31" s="2"/>
      <c r="J31" s="23"/>
      <c r="K31" s="2"/>
      <c r="L31" s="2">
        <f t="shared" si="0"/>
        <v>6568.52</v>
      </c>
      <c r="M31" s="2"/>
      <c r="N31" s="23">
        <f t="shared" si="1"/>
        <v>0</v>
      </c>
      <c r="O31" s="11"/>
      <c r="P31" s="2">
        <f>--8369.2</f>
        <v>8369.2000000000007</v>
      </c>
      <c r="Q31" s="2"/>
      <c r="R31" s="23"/>
      <c r="S31" s="2"/>
      <c r="T31" s="2"/>
      <c r="U31" s="2"/>
      <c r="V31" s="23"/>
      <c r="W31" s="2"/>
      <c r="X31" s="2">
        <f t="shared" si="2"/>
        <v>8369.2000000000007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--46004.35</f>
        <v>46004.35</v>
      </c>
      <c r="E32" s="2"/>
      <c r="F32" s="23"/>
      <c r="G32" s="2"/>
      <c r="H32" s="2"/>
      <c r="I32" s="2"/>
      <c r="J32" s="23"/>
      <c r="K32" s="2"/>
      <c r="L32" s="2">
        <f t="shared" si="0"/>
        <v>46004.35</v>
      </c>
      <c r="M32" s="2"/>
      <c r="N32" s="23">
        <f t="shared" si="1"/>
        <v>0</v>
      </c>
      <c r="O32" s="11"/>
      <c r="P32" s="2">
        <f>--89431.08</f>
        <v>89431.08</v>
      </c>
      <c r="Q32" s="2"/>
      <c r="R32" s="23"/>
      <c r="S32" s="2"/>
      <c r="T32" s="2"/>
      <c r="U32" s="2"/>
      <c r="V32" s="23"/>
      <c r="W32" s="2"/>
      <c r="X32" s="2">
        <f t="shared" si="2"/>
        <v>89431.08</v>
      </c>
      <c r="Y32" s="2"/>
      <c r="Z32" s="23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--2510.72</f>
        <v>2510.7199999999998</v>
      </c>
      <c r="E33" s="2"/>
      <c r="F33" s="23"/>
      <c r="G33" s="2"/>
      <c r="H33" s="2"/>
      <c r="I33" s="2"/>
      <c r="J33" s="23"/>
      <c r="K33" s="2"/>
      <c r="L33" s="2">
        <f t="shared" si="0"/>
        <v>2510.7199999999998</v>
      </c>
      <c r="M33" s="2"/>
      <c r="N33" s="23">
        <f t="shared" si="1"/>
        <v>0</v>
      </c>
      <c r="O33" s="11"/>
      <c r="P33" s="2">
        <f>--2510.72</f>
        <v>2510.7199999999998</v>
      </c>
      <c r="Q33" s="2"/>
      <c r="R33" s="23"/>
      <c r="S33" s="2"/>
      <c r="T33" s="2"/>
      <c r="U33" s="2"/>
      <c r="V33" s="23"/>
      <c r="W33" s="2"/>
      <c r="X33" s="2">
        <f t="shared" si="2"/>
        <v>2510.7199999999998</v>
      </c>
      <c r="Y33" s="2"/>
      <c r="Z33" s="23">
        <f t="shared" si="3"/>
        <v>0</v>
      </c>
    </row>
    <row r="34" spans="1:26" s="24" customFormat="1" hidden="1" outlineLevel="1" x14ac:dyDescent="0.25">
      <c r="A34" s="51"/>
      <c r="B34" s="11" t="str">
        <f>CONCATENATE("          ", "4053", " - ", "TAXABLE SALES-FOOD")</f>
        <v xml:space="preserve">          4053 - TAXABLE SALES-FOOD</v>
      </c>
      <c r="C34" s="11"/>
      <c r="D34" s="2">
        <f>--140.01</f>
        <v>140.01</v>
      </c>
      <c r="E34" s="2"/>
      <c r="F34" s="23"/>
      <c r="G34" s="2"/>
      <c r="H34" s="2"/>
      <c r="I34" s="2"/>
      <c r="J34" s="23"/>
      <c r="K34" s="2"/>
      <c r="L34" s="2">
        <f t="shared" si="0"/>
        <v>140.01</v>
      </c>
      <c r="M34" s="2"/>
      <c r="N34" s="23">
        <f t="shared" si="1"/>
        <v>0</v>
      </c>
      <c r="O34" s="11"/>
      <c r="P34" s="2">
        <f>--339.9</f>
        <v>339.9</v>
      </c>
      <c r="Q34" s="2"/>
      <c r="R34" s="23"/>
      <c r="S34" s="2"/>
      <c r="T34" s="2"/>
      <c r="U34" s="2"/>
      <c r="V34" s="23"/>
      <c r="W34" s="2"/>
      <c r="X34" s="2">
        <f t="shared" si="2"/>
        <v>339.9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"4058", " - ", "TAXABLE SALES-FOOD")</f>
        <v xml:space="preserve">          4058 - TAXABLE SALES-FOOD</v>
      </c>
      <c r="C35" s="11"/>
      <c r="D35" s="2">
        <f>0</f>
        <v>0</v>
      </c>
      <c r="E35" s="2"/>
      <c r="F35" s="23"/>
      <c r="G35" s="2"/>
      <c r="H35" s="2"/>
      <c r="I35" s="2"/>
      <c r="J35" s="23"/>
      <c r="K35" s="2"/>
      <c r="L35" s="2">
        <f t="shared" si="0"/>
        <v>0</v>
      </c>
      <c r="M35" s="2"/>
      <c r="N35" s="23">
        <f t="shared" si="1"/>
        <v>0</v>
      </c>
      <c r="O35" s="11"/>
      <c r="P35" s="2">
        <f>--974.91</f>
        <v>974.91</v>
      </c>
      <c r="Q35" s="2"/>
      <c r="R35" s="23"/>
      <c r="S35" s="2"/>
      <c r="T35" s="2"/>
      <c r="U35" s="2"/>
      <c r="V35" s="23"/>
      <c r="W35" s="2"/>
      <c r="X35" s="2">
        <f t="shared" si="2"/>
        <v>974.91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"4081", " - ", "TAXABLE SALES-ELECTRONICS")</f>
        <v xml:space="preserve">          4081 - TAXABLE SALES-ELECTRONICS</v>
      </c>
      <c r="C36" s="11"/>
      <c r="D36" s="2">
        <f>--16305.86</f>
        <v>16305.86</v>
      </c>
      <c r="E36" s="2"/>
      <c r="F36" s="23"/>
      <c r="G36" s="2"/>
      <c r="H36" s="2"/>
      <c r="I36" s="2"/>
      <c r="J36" s="23"/>
      <c r="K36" s="2"/>
      <c r="L36" s="2">
        <f t="shared" si="0"/>
        <v>16305.86</v>
      </c>
      <c r="M36" s="2"/>
      <c r="N36" s="23">
        <f t="shared" si="1"/>
        <v>0</v>
      </c>
      <c r="O36" s="11"/>
      <c r="P36" s="2">
        <f>--37863.02</f>
        <v>37863.019999999997</v>
      </c>
      <c r="Q36" s="2"/>
      <c r="R36" s="23"/>
      <c r="S36" s="2"/>
      <c r="T36" s="2"/>
      <c r="U36" s="2"/>
      <c r="V36" s="23"/>
      <c r="W36" s="2"/>
      <c r="X36" s="2">
        <f t="shared" si="2"/>
        <v>37863.019999999997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"4082", " - ", "TAXABLE SALES-COMPUTER HARDWAR")</f>
        <v xml:space="preserve">          4082 - TAXABLE SALES-COMPUTER HARDWAR</v>
      </c>
      <c r="C37" s="11"/>
      <c r="D37" s="2">
        <f>--403983.14</f>
        <v>403983.14</v>
      </c>
      <c r="E37" s="2"/>
      <c r="F37" s="23"/>
      <c r="G37" s="2"/>
      <c r="H37" s="2"/>
      <c r="I37" s="2"/>
      <c r="J37" s="23"/>
      <c r="K37" s="2"/>
      <c r="L37" s="2">
        <f t="shared" si="0"/>
        <v>403983.14</v>
      </c>
      <c r="M37" s="2"/>
      <c r="N37" s="23">
        <f t="shared" si="1"/>
        <v>0</v>
      </c>
      <c r="O37" s="11"/>
      <c r="P37" s="2">
        <f>--541212.01</f>
        <v>541212.01</v>
      </c>
      <c r="Q37" s="2"/>
      <c r="R37" s="23"/>
      <c r="S37" s="2"/>
      <c r="T37" s="2"/>
      <c r="U37" s="2"/>
      <c r="V37" s="23"/>
      <c r="W37" s="2"/>
      <c r="X37" s="2">
        <f t="shared" si="2"/>
        <v>541212.01</v>
      </c>
      <c r="Y37" s="2"/>
      <c r="Z37" s="23">
        <f t="shared" si="3"/>
        <v>0</v>
      </c>
    </row>
    <row r="38" spans="1:26" s="24" customFormat="1" hidden="1" outlineLevel="1" x14ac:dyDescent="0.25">
      <c r="A38" s="51"/>
      <c r="B38" s="11" t="str">
        <f>CONCATENATE("          ", "4083", " - ", "TAXABLE SALES-COMPUTER EQUIPME")</f>
        <v xml:space="preserve">          4083 - TAXABLE SALES-COMPUTER EQUIPME</v>
      </c>
      <c r="C38" s="11"/>
      <c r="D38" s="2">
        <f>--42925.21</f>
        <v>42925.21</v>
      </c>
      <c r="E38" s="2"/>
      <c r="F38" s="23"/>
      <c r="G38" s="2"/>
      <c r="H38" s="2"/>
      <c r="I38" s="2"/>
      <c r="J38" s="23"/>
      <c r="K38" s="2"/>
      <c r="L38" s="2">
        <f t="shared" si="0"/>
        <v>42925.21</v>
      </c>
      <c r="M38" s="2"/>
      <c r="N38" s="23">
        <f t="shared" si="1"/>
        <v>0</v>
      </c>
      <c r="O38" s="11"/>
      <c r="P38" s="2">
        <f>--49715.36</f>
        <v>49715.360000000001</v>
      </c>
      <c r="Q38" s="2"/>
      <c r="R38" s="23"/>
      <c r="S38" s="2"/>
      <c r="T38" s="2"/>
      <c r="U38" s="2"/>
      <c r="V38" s="23"/>
      <c r="W38" s="2"/>
      <c r="X38" s="2">
        <f t="shared" si="2"/>
        <v>49715.360000000001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"4085", " - ", "TAXABLE SALES-SOFTWARE")</f>
        <v xml:space="preserve">          4085 - TAXABLE SALES-SOFTWARE</v>
      </c>
      <c r="C39" s="11"/>
      <c r="D39" s="2">
        <f>--129</f>
        <v>129</v>
      </c>
      <c r="E39" s="2"/>
      <c r="F39" s="23"/>
      <c r="G39" s="2"/>
      <c r="H39" s="2"/>
      <c r="I39" s="2"/>
      <c r="J39" s="23"/>
      <c r="K39" s="2"/>
      <c r="L39" s="2">
        <f t="shared" si="0"/>
        <v>129</v>
      </c>
      <c r="M39" s="2"/>
      <c r="N39" s="23">
        <f t="shared" si="1"/>
        <v>0</v>
      </c>
      <c r="O39" s="11"/>
      <c r="P39" s="2">
        <f>--129</f>
        <v>129</v>
      </c>
      <c r="Q39" s="2"/>
      <c r="R39" s="23"/>
      <c r="S39" s="2"/>
      <c r="T39" s="2"/>
      <c r="U39" s="2"/>
      <c r="V39" s="23"/>
      <c r="W39" s="2"/>
      <c r="X39" s="2">
        <f t="shared" si="2"/>
        <v>129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"4086", " - ", "TAXABLE SALES-COMPUTER SUPPLIE")</f>
        <v xml:space="preserve">          4086 - TAXABLE SALES-COMPUTER SUPPLIE</v>
      </c>
      <c r="C40" s="11"/>
      <c r="D40" s="2">
        <f>--1308.27</f>
        <v>1308.27</v>
      </c>
      <c r="E40" s="2"/>
      <c r="F40" s="23"/>
      <c r="G40" s="2"/>
      <c r="H40" s="2"/>
      <c r="I40" s="2"/>
      <c r="J40" s="23"/>
      <c r="K40" s="2"/>
      <c r="L40" s="2">
        <f t="shared" si="0"/>
        <v>1308.27</v>
      </c>
      <c r="M40" s="2"/>
      <c r="N40" s="23">
        <f t="shared" si="1"/>
        <v>0</v>
      </c>
      <c r="O40" s="11"/>
      <c r="P40" s="2">
        <f>--27267.48</f>
        <v>27267.48</v>
      </c>
      <c r="Q40" s="2"/>
      <c r="R40" s="23"/>
      <c r="S40" s="2"/>
      <c r="T40" s="2"/>
      <c r="U40" s="2"/>
      <c r="V40" s="23"/>
      <c r="W40" s="2"/>
      <c r="X40" s="2">
        <f t="shared" si="2"/>
        <v>27267.48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"4100", " - ", "NON-TAXABLE SALES")</f>
        <v xml:space="preserve">          4100 - NON-TAXABLE SALES</v>
      </c>
      <c r="C41" s="11"/>
      <c r="D41" s="2">
        <f>--217221.03</f>
        <v>217221.03</v>
      </c>
      <c r="E41" s="2"/>
      <c r="F41" s="23"/>
      <c r="G41" s="2"/>
      <c r="H41" s="2">
        <v>357112</v>
      </c>
      <c r="I41" s="2"/>
      <c r="J41" s="23"/>
      <c r="K41" s="2"/>
      <c r="L41" s="2">
        <f t="shared" si="0"/>
        <v>-139890.97</v>
      </c>
      <c r="M41" s="2"/>
      <c r="N41" s="23">
        <f t="shared" si="1"/>
        <v>-0.39172856134770045</v>
      </c>
      <c r="O41" s="11"/>
      <c r="P41" s="2">
        <f>--241230.33</f>
        <v>241230.33</v>
      </c>
      <c r="Q41" s="2"/>
      <c r="R41" s="23"/>
      <c r="S41" s="2"/>
      <c r="T41" s="2">
        <v>423057</v>
      </c>
      <c r="U41" s="2"/>
      <c r="V41" s="23"/>
      <c r="W41" s="2"/>
      <c r="X41" s="2">
        <f t="shared" si="2"/>
        <v>-181826.67</v>
      </c>
      <c r="Y41" s="2"/>
      <c r="Z41" s="23">
        <f t="shared" si="3"/>
        <v>-0.42979236840425761</v>
      </c>
    </row>
    <row r="42" spans="1:26" s="24" customFormat="1" hidden="1" outlineLevel="1" x14ac:dyDescent="0.25">
      <c r="A42" s="51"/>
      <c r="B42" s="11" t="str">
        <f>CONCATENATE("          ", "4101", " - ", "NON-TAXABLE SALES-NEW TEXT")</f>
        <v xml:space="preserve">          4101 - NON-TAXABLE SALES-NEW TEXT</v>
      </c>
      <c r="C42" s="11"/>
      <c r="D42" s="2">
        <f>--41238.82</f>
        <v>41238.82</v>
      </c>
      <c r="E42" s="2"/>
      <c r="F42" s="23"/>
      <c r="G42" s="2"/>
      <c r="H42" s="2"/>
      <c r="I42" s="2"/>
      <c r="J42" s="23"/>
      <c r="K42" s="2"/>
      <c r="L42" s="2">
        <f t="shared" si="0"/>
        <v>41238.82</v>
      </c>
      <c r="M42" s="2"/>
      <c r="N42" s="23">
        <f t="shared" si="1"/>
        <v>0</v>
      </c>
      <c r="O42" s="11"/>
      <c r="P42" s="2">
        <f>--51580.68</f>
        <v>51580.68</v>
      </c>
      <c r="Q42" s="2"/>
      <c r="R42" s="23"/>
      <c r="S42" s="2"/>
      <c r="T42" s="2"/>
      <c r="U42" s="2"/>
      <c r="V42" s="23"/>
      <c r="W42" s="2"/>
      <c r="X42" s="2">
        <f t="shared" si="2"/>
        <v>51580.68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"4102", " - ", "NON-TAXABLE SALES-USED TEXT")</f>
        <v xml:space="preserve">          4102 - NON-TAXABLE SALES-USED TEXT</v>
      </c>
      <c r="C43" s="11"/>
      <c r="D43" s="2">
        <f>--17373.3</f>
        <v>17373.3</v>
      </c>
      <c r="E43" s="2"/>
      <c r="F43" s="23"/>
      <c r="G43" s="2"/>
      <c r="H43" s="2"/>
      <c r="I43" s="2"/>
      <c r="J43" s="23"/>
      <c r="K43" s="2"/>
      <c r="L43" s="2">
        <f t="shared" si="0"/>
        <v>17373.3</v>
      </c>
      <c r="M43" s="2"/>
      <c r="N43" s="23">
        <f t="shared" si="1"/>
        <v>0</v>
      </c>
      <c r="O43" s="11"/>
      <c r="P43" s="2">
        <f>--21563.74</f>
        <v>21563.74</v>
      </c>
      <c r="Q43" s="2"/>
      <c r="R43" s="23"/>
      <c r="S43" s="2"/>
      <c r="T43" s="2"/>
      <c r="U43" s="2"/>
      <c r="V43" s="23"/>
      <c r="W43" s="2"/>
      <c r="X43" s="2">
        <f t="shared" si="2"/>
        <v>21563.74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"4104", " - ", "NON-TAXABLE SALES-DIGITAL TEXT")</f>
        <v xml:space="preserve">          4104 - NON-TAXABLE SALES-DIGITAL TEXT</v>
      </c>
      <c r="C44" s="11"/>
      <c r="D44" s="2">
        <f>--205404.66</f>
        <v>205404.66</v>
      </c>
      <c r="E44" s="2"/>
      <c r="F44" s="23"/>
      <c r="G44" s="2"/>
      <c r="H44" s="2"/>
      <c r="I44" s="2"/>
      <c r="J44" s="23"/>
      <c r="K44" s="2"/>
      <c r="L44" s="2">
        <f t="shared" si="0"/>
        <v>205404.66</v>
      </c>
      <c r="M44" s="2"/>
      <c r="N44" s="23">
        <f t="shared" si="1"/>
        <v>0</v>
      </c>
      <c r="O44" s="11"/>
      <c r="P44" s="2">
        <f>--212890.18</f>
        <v>212890.18</v>
      </c>
      <c r="Q44" s="2"/>
      <c r="R44" s="23"/>
      <c r="S44" s="2"/>
      <c r="T44" s="2"/>
      <c r="U44" s="2"/>
      <c r="V44" s="23"/>
      <c r="W44" s="2"/>
      <c r="X44" s="2">
        <f t="shared" si="2"/>
        <v>212890.18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"4118", " - ", "NON-TAXABLE SALES-STUDY GUIDES")</f>
        <v xml:space="preserve">          4118 - NON-TAXABLE SALES-STUDY GUIDES</v>
      </c>
      <c r="C45" s="11"/>
      <c r="D45" s="2">
        <f>--47.87</f>
        <v>47.87</v>
      </c>
      <c r="E45" s="2"/>
      <c r="F45" s="23"/>
      <c r="G45" s="2"/>
      <c r="H45" s="2"/>
      <c r="I45" s="2"/>
      <c r="J45" s="23"/>
      <c r="K45" s="2"/>
      <c r="L45" s="2">
        <f t="shared" si="0"/>
        <v>47.87</v>
      </c>
      <c r="M45" s="2"/>
      <c r="N45" s="23">
        <f t="shared" si="1"/>
        <v>0</v>
      </c>
      <c r="O45" s="11"/>
      <c r="P45" s="2">
        <f>--101.83</f>
        <v>101.83</v>
      </c>
      <c r="Q45" s="2"/>
      <c r="R45" s="23"/>
      <c r="S45" s="2"/>
      <c r="T45" s="2"/>
      <c r="U45" s="2"/>
      <c r="V45" s="23"/>
      <c r="W45" s="2"/>
      <c r="X45" s="2">
        <f t="shared" si="2"/>
        <v>101.83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"4126", " - ", "NON-TAXABLE SALES-WRITING INST")</f>
        <v xml:space="preserve">          4126 - NON-TAXABLE SALES-WRITING INST</v>
      </c>
      <c r="C46" s="11"/>
      <c r="D46" s="2">
        <f>0</f>
        <v>0</v>
      </c>
      <c r="E46" s="2"/>
      <c r="F46" s="23"/>
      <c r="G46" s="2"/>
      <c r="H46" s="2"/>
      <c r="I46" s="2"/>
      <c r="J46" s="23"/>
      <c r="K46" s="2"/>
      <c r="L46" s="2">
        <f t="shared" si="0"/>
        <v>0</v>
      </c>
      <c r="M46" s="2"/>
      <c r="N46" s="23">
        <f t="shared" si="1"/>
        <v>0</v>
      </c>
      <c r="O46" s="11"/>
      <c r="P46" s="2">
        <f>--52.68</f>
        <v>52.68</v>
      </c>
      <c r="Q46" s="2"/>
      <c r="R46" s="23"/>
      <c r="S46" s="2"/>
      <c r="T46" s="2"/>
      <c r="U46" s="2"/>
      <c r="V46" s="23"/>
      <c r="W46" s="2"/>
      <c r="X46" s="2">
        <f t="shared" si="2"/>
        <v>52.68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"4127", " - ", "NON-TAXABLE SALES-SCHOOL SUPPL")</f>
        <v xml:space="preserve">          4127 - NON-TAXABLE SALES-SCHOOL SUPPL</v>
      </c>
      <c r="C47" s="11"/>
      <c r="D47" s="2">
        <f>--1788.16</f>
        <v>1788.16</v>
      </c>
      <c r="E47" s="2"/>
      <c r="F47" s="23"/>
      <c r="G47" s="2"/>
      <c r="H47" s="2"/>
      <c r="I47" s="2"/>
      <c r="J47" s="23"/>
      <c r="K47" s="2"/>
      <c r="L47" s="2">
        <f t="shared" si="0"/>
        <v>1788.16</v>
      </c>
      <c r="M47" s="2"/>
      <c r="N47" s="23">
        <f t="shared" si="1"/>
        <v>0</v>
      </c>
      <c r="O47" s="11"/>
      <c r="P47" s="2">
        <f>--1860.41</f>
        <v>1860.41</v>
      </c>
      <c r="Q47" s="2"/>
      <c r="R47" s="23"/>
      <c r="S47" s="2"/>
      <c r="T47" s="2"/>
      <c r="U47" s="2"/>
      <c r="V47" s="23"/>
      <c r="W47" s="2"/>
      <c r="X47" s="2">
        <f t="shared" si="2"/>
        <v>1860.41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"4131", " - ", "NON-TAXABLE SALES-FOOD")</f>
        <v xml:space="preserve">          4131 - NON-TAXABLE SALES-FOOD</v>
      </c>
      <c r="C48" s="11"/>
      <c r="D48" s="2">
        <f>--1575.79</f>
        <v>1575.79</v>
      </c>
      <c r="E48" s="2"/>
      <c r="F48" s="23"/>
      <c r="G48" s="2"/>
      <c r="H48" s="2"/>
      <c r="I48" s="2"/>
      <c r="J48" s="23"/>
      <c r="K48" s="2"/>
      <c r="L48" s="2">
        <f t="shared" si="0"/>
        <v>1575.79</v>
      </c>
      <c r="M48" s="2"/>
      <c r="N48" s="23">
        <f t="shared" si="1"/>
        <v>0</v>
      </c>
      <c r="O48" s="11"/>
      <c r="P48" s="2">
        <f>--1835.22</f>
        <v>1835.22</v>
      </c>
      <c r="Q48" s="2"/>
      <c r="R48" s="23"/>
      <c r="S48" s="2"/>
      <c r="T48" s="2"/>
      <c r="U48" s="2"/>
      <c r="V48" s="23"/>
      <c r="W48" s="2"/>
      <c r="X48" s="2">
        <f t="shared" si="2"/>
        <v>1835.22</v>
      </c>
      <c r="Y48" s="2"/>
      <c r="Z48" s="23">
        <f t="shared" si="3"/>
        <v>0</v>
      </c>
    </row>
    <row r="49" spans="1:26" s="24" customFormat="1" hidden="1" outlineLevel="1" x14ac:dyDescent="0.25">
      <c r="A49" s="51"/>
      <c r="B49" s="11" t="str">
        <f>CONCATENATE("          ", "4132", " - ", "NON-TAXABLE SALES-JUICE")</f>
        <v xml:space="preserve">          4132 - NON-TAXABLE SALES-JUICE</v>
      </c>
      <c r="C49" s="11"/>
      <c r="D49" s="2">
        <f>--625.8</f>
        <v>625.79999999999995</v>
      </c>
      <c r="E49" s="2"/>
      <c r="F49" s="23"/>
      <c r="G49" s="2"/>
      <c r="H49" s="2"/>
      <c r="I49" s="2"/>
      <c r="J49" s="23"/>
      <c r="K49" s="2"/>
      <c r="L49" s="2">
        <f t="shared" si="0"/>
        <v>625.79999999999995</v>
      </c>
      <c r="M49" s="2"/>
      <c r="N49" s="23">
        <f t="shared" si="1"/>
        <v>0</v>
      </c>
      <c r="O49" s="11"/>
      <c r="P49" s="2">
        <f>--648.29</f>
        <v>648.29</v>
      </c>
      <c r="Q49" s="2"/>
      <c r="R49" s="23"/>
      <c r="S49" s="2"/>
      <c r="T49" s="2"/>
      <c r="U49" s="2"/>
      <c r="V49" s="23"/>
      <c r="W49" s="2"/>
      <c r="X49" s="2">
        <f t="shared" si="2"/>
        <v>648.29</v>
      </c>
      <c r="Y49" s="2"/>
      <c r="Z49" s="23">
        <f t="shared" si="3"/>
        <v>0</v>
      </c>
    </row>
    <row r="50" spans="1:26" s="24" customFormat="1" hidden="1" outlineLevel="1" x14ac:dyDescent="0.25">
      <c r="A50" s="51"/>
      <c r="B50" s="11" t="str">
        <f>CONCATENATE("          ", "4133", " - ", "NON-TAXABLE SALES-CANDY")</f>
        <v xml:space="preserve">          4133 - NON-TAXABLE SALES-CANDY</v>
      </c>
      <c r="C50" s="11"/>
      <c r="D50" s="2">
        <f>--12.43</f>
        <v>12.43</v>
      </c>
      <c r="E50" s="2"/>
      <c r="F50" s="23"/>
      <c r="G50" s="2"/>
      <c r="H50" s="2"/>
      <c r="I50" s="2"/>
      <c r="J50" s="23"/>
      <c r="K50" s="2"/>
      <c r="L50" s="2">
        <f t="shared" si="0"/>
        <v>12.43</v>
      </c>
      <c r="M50" s="2"/>
      <c r="N50" s="23">
        <f t="shared" si="1"/>
        <v>0</v>
      </c>
      <c r="O50" s="11"/>
      <c r="P50" s="2">
        <f>--80.71</f>
        <v>80.709999999999994</v>
      </c>
      <c r="Q50" s="2"/>
      <c r="R50" s="23"/>
      <c r="S50" s="2"/>
      <c r="T50" s="2"/>
      <c r="U50" s="2"/>
      <c r="V50" s="23"/>
      <c r="W50" s="2"/>
      <c r="X50" s="2">
        <f t="shared" si="2"/>
        <v>80.709999999999994</v>
      </c>
      <c r="Y50" s="2"/>
      <c r="Z50" s="23">
        <f t="shared" si="3"/>
        <v>0</v>
      </c>
    </row>
    <row r="51" spans="1:26" s="24" customFormat="1" hidden="1" outlineLevel="1" x14ac:dyDescent="0.25">
      <c r="A51" s="51"/>
      <c r="B51" s="11" t="str">
        <f>CONCATENATE("          ", "4134", " - ", "NON-TAXABLE SALES-SODA")</f>
        <v xml:space="preserve">          4134 - NON-TAXABLE SALES-SODA</v>
      </c>
      <c r="C51" s="11"/>
      <c r="D51" s="2">
        <f t="shared" ref="D51:D52" si="4">0</f>
        <v>0</v>
      </c>
      <c r="E51" s="2"/>
      <c r="F51" s="23"/>
      <c r="G51" s="2"/>
      <c r="H51" s="2"/>
      <c r="I51" s="2"/>
      <c r="J51" s="23"/>
      <c r="K51" s="2"/>
      <c r="L51" s="2">
        <f t="shared" si="0"/>
        <v>0</v>
      </c>
      <c r="M51" s="2"/>
      <c r="N51" s="23">
        <f t="shared" si="1"/>
        <v>0</v>
      </c>
      <c r="O51" s="11"/>
      <c r="P51" s="2">
        <f>--45.53</f>
        <v>45.53</v>
      </c>
      <c r="Q51" s="2"/>
      <c r="R51" s="23"/>
      <c r="S51" s="2"/>
      <c r="T51" s="2"/>
      <c r="U51" s="2"/>
      <c r="V51" s="23"/>
      <c r="W51" s="2"/>
      <c r="X51" s="2">
        <f t="shared" si="2"/>
        <v>45.53</v>
      </c>
      <c r="Y51" s="2"/>
      <c r="Z51" s="23">
        <f t="shared" si="3"/>
        <v>0</v>
      </c>
    </row>
    <row r="52" spans="1:26" s="24" customFormat="1" hidden="1" outlineLevel="1" x14ac:dyDescent="0.25">
      <c r="A52" s="51"/>
      <c r="B52" s="11" t="str">
        <f>CONCATENATE("          ", "4137", " - ", "NON-TAXABLE SALES-WATER")</f>
        <v xml:space="preserve">          4137 - NON-TAXABLE SALES-WATER</v>
      </c>
      <c r="C52" s="11"/>
      <c r="D52" s="2">
        <f t="shared" si="4"/>
        <v>0</v>
      </c>
      <c r="E52" s="2"/>
      <c r="F52" s="23"/>
      <c r="G52" s="2"/>
      <c r="H52" s="2"/>
      <c r="I52" s="2"/>
      <c r="J52" s="23"/>
      <c r="K52" s="2"/>
      <c r="L52" s="2">
        <f t="shared" si="0"/>
        <v>0</v>
      </c>
      <c r="M52" s="2"/>
      <c r="N52" s="23">
        <f t="shared" si="1"/>
        <v>0</v>
      </c>
      <c r="O52" s="11"/>
      <c r="P52" s="2">
        <f>--68.25</f>
        <v>68.25</v>
      </c>
      <c r="Q52" s="2"/>
      <c r="R52" s="23"/>
      <c r="S52" s="2"/>
      <c r="T52" s="2"/>
      <c r="U52" s="2"/>
      <c r="V52" s="23"/>
      <c r="W52" s="2"/>
      <c r="X52" s="2">
        <f t="shared" si="2"/>
        <v>68.25</v>
      </c>
      <c r="Y52" s="2"/>
      <c r="Z52" s="23">
        <f t="shared" si="3"/>
        <v>0</v>
      </c>
    </row>
    <row r="53" spans="1:26" s="24" customFormat="1" hidden="1" outlineLevel="1" x14ac:dyDescent="0.25">
      <c r="A53" s="51"/>
      <c r="B53" s="11" t="str">
        <f>CONCATENATE("          ", "4140", " - ", "NON-TAXABLE SALES-LOGO CLOTHIN")</f>
        <v xml:space="preserve">          4140 - NON-TAXABLE SALES-LOGO CLOTHIN</v>
      </c>
      <c r="C53" s="11"/>
      <c r="D53" s="2">
        <f>--7266.5</f>
        <v>7266.5</v>
      </c>
      <c r="E53" s="2"/>
      <c r="F53" s="23"/>
      <c r="G53" s="2"/>
      <c r="H53" s="2"/>
      <c r="I53" s="2"/>
      <c r="J53" s="23"/>
      <c r="K53" s="2"/>
      <c r="L53" s="2">
        <f t="shared" si="0"/>
        <v>7266.5</v>
      </c>
      <c r="M53" s="2"/>
      <c r="N53" s="23">
        <f t="shared" si="1"/>
        <v>0</v>
      </c>
      <c r="O53" s="11"/>
      <c r="P53" s="2">
        <f>--14112.74</f>
        <v>14112.74</v>
      </c>
      <c r="Q53" s="2"/>
      <c r="R53" s="23"/>
      <c r="S53" s="2"/>
      <c r="T53" s="2"/>
      <c r="U53" s="2"/>
      <c r="V53" s="23"/>
      <c r="W53" s="2"/>
      <c r="X53" s="2">
        <f t="shared" si="2"/>
        <v>14112.74</v>
      </c>
      <c r="Y53" s="2"/>
      <c r="Z53" s="23">
        <f t="shared" si="3"/>
        <v>0</v>
      </c>
    </row>
    <row r="54" spans="1:26" s="24" customFormat="1" hidden="1" outlineLevel="1" x14ac:dyDescent="0.25">
      <c r="A54" s="51"/>
      <c r="B54" s="11" t="str">
        <f>CONCATENATE("          ", "4141", " - ", "NON-TAXABLE SALES-LOGO GIFTS")</f>
        <v xml:space="preserve">          4141 - NON-TAXABLE SALES-LOGO GIFTS</v>
      </c>
      <c r="C54" s="11"/>
      <c r="D54" s="2">
        <f>--1189.06</f>
        <v>1189.06</v>
      </c>
      <c r="E54" s="2"/>
      <c r="F54" s="23"/>
      <c r="G54" s="2"/>
      <c r="H54" s="2"/>
      <c r="I54" s="2"/>
      <c r="J54" s="23"/>
      <c r="K54" s="2"/>
      <c r="L54" s="2">
        <f t="shared" si="0"/>
        <v>1189.06</v>
      </c>
      <c r="M54" s="2"/>
      <c r="N54" s="23">
        <f t="shared" si="1"/>
        <v>0</v>
      </c>
      <c r="O54" s="11"/>
      <c r="P54" s="2">
        <f>--2389.25</f>
        <v>2389.25</v>
      </c>
      <c r="Q54" s="2"/>
      <c r="R54" s="23"/>
      <c r="S54" s="2"/>
      <c r="T54" s="2"/>
      <c r="U54" s="2"/>
      <c r="V54" s="23"/>
      <c r="W54" s="2"/>
      <c r="X54" s="2">
        <f t="shared" si="2"/>
        <v>2389.25</v>
      </c>
      <c r="Y54" s="2"/>
      <c r="Z54" s="23">
        <f t="shared" si="3"/>
        <v>0</v>
      </c>
    </row>
    <row r="55" spans="1:26" s="24" customFormat="1" hidden="1" outlineLevel="1" x14ac:dyDescent="0.25">
      <c r="A55" s="51"/>
      <c r="B55" s="11" t="str">
        <f>CONCATENATE("          ", "4142", " - ", "NON-TAXABLE SALES-EVERYDAY GIF")</f>
        <v xml:space="preserve">          4142 - NON-TAXABLE SALES-EVERYDAY GIF</v>
      </c>
      <c r="C55" s="11"/>
      <c r="D55" s="2">
        <f>--339.4</f>
        <v>339.4</v>
      </c>
      <c r="E55" s="2"/>
      <c r="F55" s="23"/>
      <c r="G55" s="2"/>
      <c r="H55" s="2"/>
      <c r="I55" s="2"/>
      <c r="J55" s="23"/>
      <c r="K55" s="2"/>
      <c r="L55" s="2">
        <f t="shared" si="0"/>
        <v>339.4</v>
      </c>
      <c r="M55" s="2"/>
      <c r="N55" s="23">
        <f t="shared" si="1"/>
        <v>0</v>
      </c>
      <c r="O55" s="11"/>
      <c r="P55" s="2">
        <f>--979.57</f>
        <v>979.57</v>
      </c>
      <c r="Q55" s="2"/>
      <c r="R55" s="23"/>
      <c r="S55" s="2"/>
      <c r="T55" s="2"/>
      <c r="U55" s="2"/>
      <c r="V55" s="23"/>
      <c r="W55" s="2"/>
      <c r="X55" s="2">
        <f t="shared" si="2"/>
        <v>979.57</v>
      </c>
      <c r="Y55" s="2"/>
      <c r="Z55" s="23">
        <f t="shared" si="3"/>
        <v>0</v>
      </c>
    </row>
    <row r="56" spans="1:26" s="24" customFormat="1" hidden="1" outlineLevel="1" x14ac:dyDescent="0.25">
      <c r="A56" s="51"/>
      <c r="B56" s="11" t="str">
        <f>CONCATENATE("          ", "4143", " - ", "NON-TAXABLE SALES-CARDS")</f>
        <v xml:space="preserve">          4143 - NON-TAXABLE SALES-CARDS</v>
      </c>
      <c r="C56" s="11"/>
      <c r="D56" s="2">
        <f>--19.98</f>
        <v>19.98</v>
      </c>
      <c r="E56" s="2"/>
      <c r="F56" s="23"/>
      <c r="G56" s="2"/>
      <c r="H56" s="2"/>
      <c r="I56" s="2"/>
      <c r="J56" s="23"/>
      <c r="K56" s="2"/>
      <c r="L56" s="2">
        <f t="shared" si="0"/>
        <v>19.98</v>
      </c>
      <c r="M56" s="2"/>
      <c r="N56" s="23">
        <f t="shared" si="1"/>
        <v>0</v>
      </c>
      <c r="O56" s="11"/>
      <c r="P56" s="2">
        <f>--19.98</f>
        <v>19.98</v>
      </c>
      <c r="Q56" s="2"/>
      <c r="R56" s="23"/>
      <c r="S56" s="2"/>
      <c r="T56" s="2"/>
      <c r="U56" s="2"/>
      <c r="V56" s="23"/>
      <c r="W56" s="2"/>
      <c r="X56" s="2">
        <f t="shared" si="2"/>
        <v>19.98</v>
      </c>
      <c r="Y56" s="2"/>
      <c r="Z56" s="23">
        <f t="shared" si="3"/>
        <v>0</v>
      </c>
    </row>
    <row r="57" spans="1:26" s="24" customFormat="1" hidden="1" outlineLevel="1" x14ac:dyDescent="0.25">
      <c r="A57" s="51"/>
      <c r="B57" s="11" t="str">
        <f>CONCATENATE("          ", "4144", " - ", "NON-TAXABLE SALES-ACCESSORIES")</f>
        <v xml:space="preserve">          4144 - NON-TAXABLE SALES-ACCESSORIES</v>
      </c>
      <c r="C57" s="11"/>
      <c r="D57" s="2">
        <f>--107.95</f>
        <v>107.95</v>
      </c>
      <c r="E57" s="2"/>
      <c r="F57" s="23"/>
      <c r="G57" s="2"/>
      <c r="H57" s="2"/>
      <c r="I57" s="2"/>
      <c r="J57" s="23"/>
      <c r="K57" s="2"/>
      <c r="L57" s="2">
        <f t="shared" si="0"/>
        <v>107.95</v>
      </c>
      <c r="M57" s="2"/>
      <c r="N57" s="23">
        <f t="shared" si="1"/>
        <v>0</v>
      </c>
      <c r="O57" s="11"/>
      <c r="P57" s="2">
        <f>--155.8</f>
        <v>155.80000000000001</v>
      </c>
      <c r="Q57" s="2"/>
      <c r="R57" s="23"/>
      <c r="S57" s="2"/>
      <c r="T57" s="2"/>
      <c r="U57" s="2"/>
      <c r="V57" s="23"/>
      <c r="W57" s="2"/>
      <c r="X57" s="2">
        <f t="shared" si="2"/>
        <v>155.80000000000001</v>
      </c>
      <c r="Y57" s="2"/>
      <c r="Z57" s="23">
        <f t="shared" si="3"/>
        <v>0</v>
      </c>
    </row>
    <row r="58" spans="1:26" s="24" customFormat="1" hidden="1" outlineLevel="1" x14ac:dyDescent="0.25">
      <c r="A58" s="51"/>
      <c r="B58" s="11" t="str">
        <f>CONCATENATE("          ", "4145", " - ", "NON-TAXABLE SALES-SPECIAL ORDE")</f>
        <v xml:space="preserve">          4145 - NON-TAXABLE SALES-SPECIAL ORDE</v>
      </c>
      <c r="C58" s="11"/>
      <c r="D58" s="2">
        <f>--350</f>
        <v>350</v>
      </c>
      <c r="E58" s="2"/>
      <c r="F58" s="23"/>
      <c r="G58" s="2"/>
      <c r="H58" s="2"/>
      <c r="I58" s="2"/>
      <c r="J58" s="23"/>
      <c r="K58" s="2"/>
      <c r="L58" s="2">
        <f t="shared" si="0"/>
        <v>350</v>
      </c>
      <c r="M58" s="2"/>
      <c r="N58" s="23">
        <f t="shared" si="1"/>
        <v>0</v>
      </c>
      <c r="O58" s="11"/>
      <c r="P58" s="2">
        <f>--35846</f>
        <v>35846</v>
      </c>
      <c r="Q58" s="2"/>
      <c r="R58" s="23"/>
      <c r="S58" s="2"/>
      <c r="T58" s="2"/>
      <c r="U58" s="2"/>
      <c r="V58" s="23"/>
      <c r="W58" s="2"/>
      <c r="X58" s="2">
        <f t="shared" si="2"/>
        <v>35846</v>
      </c>
      <c r="Y58" s="2"/>
      <c r="Z58" s="23">
        <f t="shared" si="3"/>
        <v>0</v>
      </c>
    </row>
    <row r="59" spans="1:26" s="24" customFormat="1" hidden="1" outlineLevel="1" x14ac:dyDescent="0.25">
      <c r="A59" s="51"/>
      <c r="B59" s="11" t="str">
        <f>CONCATENATE("          ", "4146", " - ", "NON-TAXABLE SALES-COIN OP MACH")</f>
        <v xml:space="preserve">          4146 - NON-TAXABLE SALES-COIN OP MACH</v>
      </c>
      <c r="C59" s="11"/>
      <c r="D59" s="2">
        <f>--15.5</f>
        <v>15.5</v>
      </c>
      <c r="E59" s="2"/>
      <c r="F59" s="23"/>
      <c r="G59" s="2"/>
      <c r="H59" s="2"/>
      <c r="I59" s="2"/>
      <c r="J59" s="23"/>
      <c r="K59" s="2"/>
      <c r="L59" s="2">
        <f t="shared" si="0"/>
        <v>15.5</v>
      </c>
      <c r="M59" s="2"/>
      <c r="N59" s="23">
        <f t="shared" si="1"/>
        <v>0</v>
      </c>
      <c r="O59" s="11"/>
      <c r="P59" s="2">
        <f>--15.5</f>
        <v>15.5</v>
      </c>
      <c r="Q59" s="2"/>
      <c r="R59" s="23"/>
      <c r="S59" s="2"/>
      <c r="T59" s="2"/>
      <c r="U59" s="2"/>
      <c r="V59" s="23"/>
      <c r="W59" s="2"/>
      <c r="X59" s="2">
        <f t="shared" si="2"/>
        <v>15.5</v>
      </c>
      <c r="Y59" s="2"/>
      <c r="Z59" s="23">
        <f t="shared" si="3"/>
        <v>0</v>
      </c>
    </row>
    <row r="60" spans="1:26" s="24" customFormat="1" hidden="1" outlineLevel="1" x14ac:dyDescent="0.25">
      <c r="A60" s="51"/>
      <c r="B60" s="11" t="str">
        <f>CONCATENATE("          ", "4147", " - ", "NON-TAXABLE SALES-MISC")</f>
        <v xml:space="preserve">          4147 - NON-TAXABLE SALES-MISC</v>
      </c>
      <c r="C60" s="11"/>
      <c r="D60" s="2">
        <f>--23</f>
        <v>23</v>
      </c>
      <c r="E60" s="2"/>
      <c r="F60" s="23"/>
      <c r="G60" s="2"/>
      <c r="H60" s="2"/>
      <c r="I60" s="2"/>
      <c r="J60" s="23"/>
      <c r="K60" s="2"/>
      <c r="L60" s="2">
        <f t="shared" si="0"/>
        <v>23</v>
      </c>
      <c r="M60" s="2"/>
      <c r="N60" s="23">
        <f t="shared" si="1"/>
        <v>0</v>
      </c>
      <c r="O60" s="11"/>
      <c r="P60" s="2">
        <f>--24</f>
        <v>24</v>
      </c>
      <c r="Q60" s="2"/>
      <c r="R60" s="23"/>
      <c r="S60" s="2"/>
      <c r="T60" s="2"/>
      <c r="U60" s="2"/>
      <c r="V60" s="23"/>
      <c r="W60" s="2"/>
      <c r="X60" s="2">
        <f t="shared" si="2"/>
        <v>24</v>
      </c>
      <c r="Y60" s="2"/>
      <c r="Z60" s="23">
        <f t="shared" si="3"/>
        <v>0</v>
      </c>
    </row>
    <row r="61" spans="1:26" s="24" customFormat="1" hidden="1" outlineLevel="1" x14ac:dyDescent="0.25">
      <c r="A61" s="51"/>
      <c r="B61" s="11" t="str">
        <f>CONCATENATE("          ", "4151", " - ", "NON-TAXABLE SALES-FOOD")</f>
        <v xml:space="preserve">          4151 - NON-TAXABLE SALES-FOOD</v>
      </c>
      <c r="C61" s="11"/>
      <c r="D61" s="2">
        <f>--42758.9</f>
        <v>42758.9</v>
      </c>
      <c r="E61" s="2"/>
      <c r="F61" s="23"/>
      <c r="G61" s="2"/>
      <c r="H61" s="2"/>
      <c r="I61" s="2"/>
      <c r="J61" s="23"/>
      <c r="K61" s="2"/>
      <c r="L61" s="2">
        <f t="shared" si="0"/>
        <v>42758.9</v>
      </c>
      <c r="M61" s="2"/>
      <c r="N61" s="23">
        <f t="shared" si="1"/>
        <v>0</v>
      </c>
      <c r="O61" s="11"/>
      <c r="P61" s="2">
        <f>--44058.9</f>
        <v>44058.9</v>
      </c>
      <c r="Q61" s="2"/>
      <c r="R61" s="23"/>
      <c r="S61" s="2"/>
      <c r="T61" s="2"/>
      <c r="U61" s="2"/>
      <c r="V61" s="23"/>
      <c r="W61" s="2"/>
      <c r="X61" s="2">
        <f t="shared" si="2"/>
        <v>44058.9</v>
      </c>
      <c r="Y61" s="2"/>
      <c r="Z61" s="23">
        <f t="shared" si="3"/>
        <v>0</v>
      </c>
    </row>
    <row r="62" spans="1:26" s="24" customFormat="1" hidden="1" outlineLevel="1" x14ac:dyDescent="0.25">
      <c r="A62" s="51"/>
      <c r="B62" s="11" t="str">
        <f>CONCATENATE("          ", "4153", " - ", "NON-TAXABLE SALES-FOOD")</f>
        <v xml:space="preserve">          4153 - NON-TAXABLE SALES-FOOD</v>
      </c>
      <c r="C62" s="11"/>
      <c r="D62" s="2">
        <f>--9247.39</f>
        <v>9247.39</v>
      </c>
      <c r="E62" s="2"/>
      <c r="F62" s="23"/>
      <c r="G62" s="2"/>
      <c r="H62" s="2"/>
      <c r="I62" s="2"/>
      <c r="J62" s="23"/>
      <c r="K62" s="2"/>
      <c r="L62" s="2">
        <f t="shared" si="0"/>
        <v>9247.39</v>
      </c>
      <c r="M62" s="2"/>
      <c r="N62" s="23">
        <f t="shared" si="1"/>
        <v>0</v>
      </c>
      <c r="O62" s="11"/>
      <c r="P62" s="2">
        <f>--27075.42</f>
        <v>27075.42</v>
      </c>
      <c r="Q62" s="2"/>
      <c r="R62" s="23"/>
      <c r="S62" s="2"/>
      <c r="T62" s="2"/>
      <c r="U62" s="2"/>
      <c r="V62" s="23"/>
      <c r="W62" s="2"/>
      <c r="X62" s="2">
        <f t="shared" si="2"/>
        <v>27075.42</v>
      </c>
      <c r="Y62" s="2"/>
      <c r="Z62" s="23">
        <f t="shared" si="3"/>
        <v>0</v>
      </c>
    </row>
    <row r="63" spans="1:26" s="24" customFormat="1" hidden="1" outlineLevel="1" x14ac:dyDescent="0.25">
      <c r="A63" s="51"/>
      <c r="B63" s="11" t="str">
        <f>CONCATENATE("          ", "4181", " - ", "NON-TAXABLE SALES-ELECTRONICS")</f>
        <v xml:space="preserve">          4181 - NON-TAXABLE SALES-ELECTRONICS</v>
      </c>
      <c r="C63" s="11"/>
      <c r="D63" s="2">
        <f>--2349.29</f>
        <v>2349.29</v>
      </c>
      <c r="E63" s="2"/>
      <c r="F63" s="23"/>
      <c r="G63" s="2"/>
      <c r="H63" s="2"/>
      <c r="I63" s="2"/>
      <c r="J63" s="23"/>
      <c r="K63" s="2"/>
      <c r="L63" s="2">
        <f t="shared" si="0"/>
        <v>2349.29</v>
      </c>
      <c r="M63" s="2"/>
      <c r="N63" s="23">
        <f t="shared" si="1"/>
        <v>0</v>
      </c>
      <c r="O63" s="11"/>
      <c r="P63" s="2">
        <f>--2639.27</f>
        <v>2639.27</v>
      </c>
      <c r="Q63" s="2"/>
      <c r="R63" s="23"/>
      <c r="S63" s="2"/>
      <c r="T63" s="2"/>
      <c r="U63" s="2"/>
      <c r="V63" s="23"/>
      <c r="W63" s="2"/>
      <c r="X63" s="2">
        <f t="shared" si="2"/>
        <v>2639.27</v>
      </c>
      <c r="Y63" s="2"/>
      <c r="Z63" s="23">
        <f t="shared" si="3"/>
        <v>0</v>
      </c>
    </row>
    <row r="64" spans="1:26" s="24" customFormat="1" hidden="1" outlineLevel="1" x14ac:dyDescent="0.25">
      <c r="A64" s="51"/>
      <c r="B64" s="11" t="str">
        <f>CONCATENATE("          ", "4182", " - ", "NON-TAXABLE SALES-COMPUTER HAR")</f>
        <v xml:space="preserve">          4182 - NON-TAXABLE SALES-COMPUTER HAR</v>
      </c>
      <c r="C64" s="11"/>
      <c r="D64" s="2">
        <f>--46190.39</f>
        <v>46190.39</v>
      </c>
      <c r="E64" s="2"/>
      <c r="F64" s="23"/>
      <c r="G64" s="2"/>
      <c r="H64" s="2"/>
      <c r="I64" s="2"/>
      <c r="J64" s="23"/>
      <c r="K64" s="2"/>
      <c r="L64" s="2">
        <f t="shared" si="0"/>
        <v>46190.39</v>
      </c>
      <c r="M64" s="2"/>
      <c r="N64" s="23">
        <f t="shared" si="1"/>
        <v>0</v>
      </c>
      <c r="O64" s="11"/>
      <c r="P64" s="2">
        <f>--82067.38</f>
        <v>82067.38</v>
      </c>
      <c r="Q64" s="2"/>
      <c r="R64" s="23"/>
      <c r="S64" s="2"/>
      <c r="T64" s="2"/>
      <c r="U64" s="2"/>
      <c r="V64" s="23"/>
      <c r="W64" s="2"/>
      <c r="X64" s="2">
        <f t="shared" si="2"/>
        <v>82067.38</v>
      </c>
      <c r="Y64" s="2"/>
      <c r="Z64" s="23">
        <f t="shared" si="3"/>
        <v>0</v>
      </c>
    </row>
    <row r="65" spans="1:26" s="24" customFormat="1" hidden="1" outlineLevel="1" x14ac:dyDescent="0.25">
      <c r="A65" s="51"/>
      <c r="B65" s="11" t="str">
        <f>CONCATENATE("          ", "4183", " - ", "NON-TAXABLE SALES-COMPUTER EQU")</f>
        <v xml:space="preserve">          4183 - NON-TAXABLE SALES-COMPUTER EQU</v>
      </c>
      <c r="C65" s="11"/>
      <c r="D65" s="2">
        <f>--1759.83</f>
        <v>1759.83</v>
      </c>
      <c r="E65" s="2"/>
      <c r="F65" s="23"/>
      <c r="G65" s="2"/>
      <c r="H65" s="2"/>
      <c r="I65" s="2"/>
      <c r="J65" s="23"/>
      <c r="K65" s="2"/>
      <c r="L65" s="2">
        <f t="shared" si="0"/>
        <v>1759.83</v>
      </c>
      <c r="M65" s="2"/>
      <c r="N65" s="23">
        <f t="shared" si="1"/>
        <v>0</v>
      </c>
      <c r="O65" s="11"/>
      <c r="P65" s="2">
        <f>--3119.68</f>
        <v>3119.68</v>
      </c>
      <c r="Q65" s="2"/>
      <c r="R65" s="23"/>
      <c r="S65" s="2"/>
      <c r="T65" s="2"/>
      <c r="U65" s="2"/>
      <c r="V65" s="23"/>
      <c r="W65" s="2"/>
      <c r="X65" s="2">
        <f t="shared" si="2"/>
        <v>3119.68</v>
      </c>
      <c r="Y65" s="2"/>
      <c r="Z65" s="23">
        <f t="shared" si="3"/>
        <v>0</v>
      </c>
    </row>
    <row r="66" spans="1:26" s="24" customFormat="1" hidden="1" outlineLevel="1" x14ac:dyDescent="0.25">
      <c r="A66" s="51"/>
      <c r="B66" s="11" t="str">
        <f>CONCATENATE("          ", "4185", " - ", "NON-TAXABLE SALES-SOFTWARE")</f>
        <v xml:space="preserve">          4185 - NON-TAXABLE SALES-SOFTWARE</v>
      </c>
      <c r="C66" s="11"/>
      <c r="D66" s="2">
        <f>--4610.75</f>
        <v>4610.75</v>
      </c>
      <c r="E66" s="2"/>
      <c r="F66" s="23"/>
      <c r="G66" s="2"/>
      <c r="H66" s="2"/>
      <c r="I66" s="2"/>
      <c r="J66" s="23"/>
      <c r="K66" s="2"/>
      <c r="L66" s="2">
        <f t="shared" si="0"/>
        <v>4610.75</v>
      </c>
      <c r="M66" s="2"/>
      <c r="N66" s="23">
        <f t="shared" si="1"/>
        <v>0</v>
      </c>
      <c r="O66" s="11"/>
      <c r="P66" s="2">
        <f>--10798.49</f>
        <v>10798.49</v>
      </c>
      <c r="Q66" s="2"/>
      <c r="R66" s="23"/>
      <c r="S66" s="2"/>
      <c r="T66" s="2"/>
      <c r="U66" s="2"/>
      <c r="V66" s="23"/>
      <c r="W66" s="2"/>
      <c r="X66" s="2">
        <f t="shared" si="2"/>
        <v>10798.49</v>
      </c>
      <c r="Y66" s="2"/>
      <c r="Z66" s="23">
        <f t="shared" si="3"/>
        <v>0</v>
      </c>
    </row>
    <row r="67" spans="1:26" s="24" customFormat="1" hidden="1" outlineLevel="1" x14ac:dyDescent="0.25">
      <c r="A67" s="51"/>
      <c r="B67" s="11" t="str">
        <f>CONCATENATE("          ", "4186", " - ", "NON-TAXABLE SALES-COMPUTER SUP")</f>
        <v xml:space="preserve">          4186 - NON-TAXABLE SALES-COMPUTER SUP</v>
      </c>
      <c r="C67" s="11"/>
      <c r="D67" s="2">
        <f>--257.95</f>
        <v>257.95</v>
      </c>
      <c r="E67" s="2"/>
      <c r="F67" s="23"/>
      <c r="G67" s="2"/>
      <c r="H67" s="2"/>
      <c r="I67" s="2"/>
      <c r="J67" s="23"/>
      <c r="K67" s="2"/>
      <c r="L67" s="2">
        <f t="shared" si="0"/>
        <v>257.95</v>
      </c>
      <c r="M67" s="2"/>
      <c r="N67" s="23">
        <f t="shared" si="1"/>
        <v>0</v>
      </c>
      <c r="O67" s="11"/>
      <c r="P67" s="2">
        <f>--412.9</f>
        <v>412.9</v>
      </c>
      <c r="Q67" s="2"/>
      <c r="R67" s="23"/>
      <c r="S67" s="2"/>
      <c r="T67" s="2"/>
      <c r="U67" s="2"/>
      <c r="V67" s="23"/>
      <c r="W67" s="2"/>
      <c r="X67" s="2">
        <f t="shared" si="2"/>
        <v>412.9</v>
      </c>
      <c r="Y67" s="2"/>
      <c r="Z67" s="23">
        <f t="shared" si="3"/>
        <v>0</v>
      </c>
    </row>
    <row r="68" spans="1:26" s="24" customFormat="1" hidden="1" outlineLevel="1" x14ac:dyDescent="0.25">
      <c r="A68" s="51"/>
      <c r="B68" s="11" t="str">
        <f>CONCATENATE("          ", "4201", " - ", "SALES RETURN TAXABLE-NEW TEXT")</f>
        <v xml:space="preserve">          4201 - SALES RETURN TAXABLE-NEW TEXT</v>
      </c>
      <c r="C68" s="11"/>
      <c r="D68" s="2">
        <f>-18222.39</f>
        <v>-18222.39</v>
      </c>
      <c r="E68" s="2"/>
      <c r="F68" s="23"/>
      <c r="G68" s="2"/>
      <c r="H68" s="2"/>
      <c r="I68" s="2"/>
      <c r="J68" s="23"/>
      <c r="K68" s="2"/>
      <c r="L68" s="2">
        <f t="shared" si="0"/>
        <v>-18222.39</v>
      </c>
      <c r="M68" s="2"/>
      <c r="N68" s="23">
        <f t="shared" si="1"/>
        <v>0</v>
      </c>
      <c r="O68" s="11"/>
      <c r="P68" s="2">
        <f>-18855.79</f>
        <v>-18855.79</v>
      </c>
      <c r="Q68" s="2"/>
      <c r="R68" s="23"/>
      <c r="S68" s="2"/>
      <c r="T68" s="2"/>
      <c r="U68" s="2"/>
      <c r="V68" s="23"/>
      <c r="W68" s="2"/>
      <c r="X68" s="2">
        <f t="shared" si="2"/>
        <v>-18855.79</v>
      </c>
      <c r="Y68" s="2"/>
      <c r="Z68" s="23">
        <f t="shared" si="3"/>
        <v>0</v>
      </c>
    </row>
    <row r="69" spans="1:26" s="24" customFormat="1" hidden="1" outlineLevel="1" x14ac:dyDescent="0.25">
      <c r="A69" s="51"/>
      <c r="B69" s="11" t="str">
        <f>CONCATENATE("          ", "4202", " - ", "SALES RETURN TAXABLE-USED TEXT")</f>
        <v xml:space="preserve">          4202 - SALES RETURN TAXABLE-USED TEXT</v>
      </c>
      <c r="C69" s="11"/>
      <c r="D69" s="2">
        <f>-8869.4</f>
        <v>-8869.4</v>
      </c>
      <c r="E69" s="2"/>
      <c r="F69" s="23"/>
      <c r="G69" s="2"/>
      <c r="H69" s="2"/>
      <c r="I69" s="2"/>
      <c r="J69" s="23"/>
      <c r="K69" s="2"/>
      <c r="L69" s="2">
        <f t="shared" si="0"/>
        <v>-8869.4</v>
      </c>
      <c r="M69" s="2"/>
      <c r="N69" s="23">
        <f t="shared" si="1"/>
        <v>0</v>
      </c>
      <c r="O69" s="11"/>
      <c r="P69" s="2">
        <f>-9047.75</f>
        <v>-9047.75</v>
      </c>
      <c r="Q69" s="2"/>
      <c r="R69" s="23"/>
      <c r="S69" s="2"/>
      <c r="T69" s="2"/>
      <c r="U69" s="2"/>
      <c r="V69" s="23"/>
      <c r="W69" s="2"/>
      <c r="X69" s="2">
        <f t="shared" si="2"/>
        <v>-9047.75</v>
      </c>
      <c r="Y69" s="2"/>
      <c r="Z69" s="23">
        <f t="shared" si="3"/>
        <v>0</v>
      </c>
    </row>
    <row r="70" spans="1:26" s="24" customFormat="1" hidden="1" outlineLevel="1" x14ac:dyDescent="0.25">
      <c r="A70" s="51"/>
      <c r="B70" s="11" t="str">
        <f>CONCATENATE("          ", "4204", " - ", "SALES RETURN TAXABLE-DIGITAL T")</f>
        <v xml:space="preserve">          4204 - SALES RETURN TAXABLE-DIGITAL T</v>
      </c>
      <c r="C70" s="11"/>
      <c r="D70" s="2">
        <f>-1141.08</f>
        <v>-1141.08</v>
      </c>
      <c r="E70" s="2"/>
      <c r="F70" s="23"/>
      <c r="G70" s="2"/>
      <c r="H70" s="2"/>
      <c r="I70" s="2"/>
      <c r="J70" s="23"/>
      <c r="K70" s="2"/>
      <c r="L70" s="2">
        <f t="shared" si="0"/>
        <v>-1141.08</v>
      </c>
      <c r="M70" s="2"/>
      <c r="N70" s="23">
        <f t="shared" si="1"/>
        <v>0</v>
      </c>
      <c r="O70" s="11"/>
      <c r="P70" s="2">
        <f>-1141.08</f>
        <v>-1141.08</v>
      </c>
      <c r="Q70" s="2"/>
      <c r="R70" s="23"/>
      <c r="S70" s="2"/>
      <c r="T70" s="2"/>
      <c r="U70" s="2"/>
      <c r="V70" s="23"/>
      <c r="W70" s="2"/>
      <c r="X70" s="2">
        <f t="shared" si="2"/>
        <v>-1141.08</v>
      </c>
      <c r="Y70" s="2"/>
      <c r="Z70" s="23">
        <f t="shared" si="3"/>
        <v>0</v>
      </c>
    </row>
    <row r="71" spans="1:26" s="24" customFormat="1" hidden="1" outlineLevel="1" x14ac:dyDescent="0.25">
      <c r="A71" s="51"/>
      <c r="B71" s="11" t="str">
        <f>CONCATENATE("          ", "4226", " - ", "SALES RETURN TAXABLE-WRITING I")</f>
        <v xml:space="preserve">          4226 - SALES RETURN TAXABLE-WRITING I</v>
      </c>
      <c r="C71" s="11"/>
      <c r="D71" s="2">
        <f>0</f>
        <v>0</v>
      </c>
      <c r="E71" s="2"/>
      <c r="F71" s="23"/>
      <c r="G71" s="2"/>
      <c r="H71" s="2"/>
      <c r="I71" s="2"/>
      <c r="J71" s="23"/>
      <c r="K71" s="2"/>
      <c r="L71" s="2">
        <f t="shared" si="0"/>
        <v>0</v>
      </c>
      <c r="M71" s="2"/>
      <c r="N71" s="23">
        <f t="shared" si="1"/>
        <v>0</v>
      </c>
      <c r="O71" s="11"/>
      <c r="P71" s="2">
        <f>-6.38</f>
        <v>-6.38</v>
      </c>
      <c r="Q71" s="2"/>
      <c r="R71" s="23"/>
      <c r="S71" s="2"/>
      <c r="T71" s="2"/>
      <c r="U71" s="2"/>
      <c r="V71" s="23"/>
      <c r="W71" s="2"/>
      <c r="X71" s="2">
        <f t="shared" si="2"/>
        <v>-6.38</v>
      </c>
      <c r="Y71" s="2"/>
      <c r="Z71" s="23">
        <f t="shared" si="3"/>
        <v>0</v>
      </c>
    </row>
    <row r="72" spans="1:26" s="24" customFormat="1" hidden="1" outlineLevel="1" x14ac:dyDescent="0.25">
      <c r="A72" s="51"/>
      <c r="B72" s="11" t="str">
        <f>CONCATENATE("          ", "4227", " - ", "SALES RETURN TAXABLE-SCHOOL SU")</f>
        <v xml:space="preserve">          4227 - SALES RETURN TAXABLE-SCHOOL SU</v>
      </c>
      <c r="C72" s="11"/>
      <c r="D72" s="2">
        <f>-359.61</f>
        <v>-359.61</v>
      </c>
      <c r="E72" s="2"/>
      <c r="F72" s="23"/>
      <c r="G72" s="2"/>
      <c r="H72" s="2"/>
      <c r="I72" s="2"/>
      <c r="J72" s="23"/>
      <c r="K72" s="2"/>
      <c r="L72" s="2">
        <f t="shared" si="0"/>
        <v>-359.61</v>
      </c>
      <c r="M72" s="2"/>
      <c r="N72" s="23">
        <f t="shared" si="1"/>
        <v>0</v>
      </c>
      <c r="O72" s="11"/>
      <c r="P72" s="2">
        <f>-416.38</f>
        <v>-416.38</v>
      </c>
      <c r="Q72" s="2"/>
      <c r="R72" s="23"/>
      <c r="S72" s="2"/>
      <c r="T72" s="2"/>
      <c r="U72" s="2"/>
      <c r="V72" s="23"/>
      <c r="W72" s="2"/>
      <c r="X72" s="2">
        <f t="shared" si="2"/>
        <v>-416.38</v>
      </c>
      <c r="Y72" s="2"/>
      <c r="Z72" s="23">
        <f t="shared" si="3"/>
        <v>0</v>
      </c>
    </row>
    <row r="73" spans="1:26" s="24" customFormat="1" hidden="1" outlineLevel="1" x14ac:dyDescent="0.25">
      <c r="A73" s="51"/>
      <c r="B73" s="11" t="str">
        <f>CONCATENATE("          ", "4228", " - ", "SALES RETURN TAXABLE-ART/TECH")</f>
        <v xml:space="preserve">          4228 - SALES RETURN TAXABLE-ART/TECH</v>
      </c>
      <c r="C73" s="11"/>
      <c r="D73" s="2">
        <f>-164.44</f>
        <v>-164.44</v>
      </c>
      <c r="E73" s="2"/>
      <c r="F73" s="23"/>
      <c r="G73" s="2"/>
      <c r="H73" s="2"/>
      <c r="I73" s="2"/>
      <c r="J73" s="23"/>
      <c r="K73" s="2"/>
      <c r="L73" s="2">
        <f t="shared" si="0"/>
        <v>-164.44</v>
      </c>
      <c r="M73" s="2"/>
      <c r="N73" s="23">
        <f t="shared" si="1"/>
        <v>0</v>
      </c>
      <c r="O73" s="11"/>
      <c r="P73" s="2">
        <f>-164.44</f>
        <v>-164.44</v>
      </c>
      <c r="Q73" s="2"/>
      <c r="R73" s="23"/>
      <c r="S73" s="2"/>
      <c r="T73" s="2"/>
      <c r="U73" s="2"/>
      <c r="V73" s="23"/>
      <c r="W73" s="2"/>
      <c r="X73" s="2">
        <f t="shared" si="2"/>
        <v>-164.44</v>
      </c>
      <c r="Y73" s="2"/>
      <c r="Z73" s="23">
        <f t="shared" si="3"/>
        <v>0</v>
      </c>
    </row>
    <row r="74" spans="1:26" s="24" customFormat="1" hidden="1" outlineLevel="1" x14ac:dyDescent="0.25">
      <c r="A74" s="51"/>
      <c r="B74" s="11" t="str">
        <f>CONCATENATE("          ", "4240", " - ", "SALES RETURN TAXABLE-LOGO CLOT")</f>
        <v xml:space="preserve">          4240 - SALES RETURN TAXABLE-LOGO CLOT</v>
      </c>
      <c r="C74" s="11"/>
      <c r="D74" s="2">
        <f>-4788.72</f>
        <v>-4788.72</v>
      </c>
      <c r="E74" s="2"/>
      <c r="F74" s="23"/>
      <c r="G74" s="2"/>
      <c r="H74" s="2"/>
      <c r="I74" s="2"/>
      <c r="J74" s="23"/>
      <c r="K74" s="2"/>
      <c r="L74" s="2">
        <f t="shared" si="0"/>
        <v>-4788.72</v>
      </c>
      <c r="M74" s="2"/>
      <c r="N74" s="23">
        <f t="shared" si="1"/>
        <v>0</v>
      </c>
      <c r="O74" s="11"/>
      <c r="P74" s="2">
        <f>-8156.82</f>
        <v>-8156.82</v>
      </c>
      <c r="Q74" s="2"/>
      <c r="R74" s="23"/>
      <c r="S74" s="2"/>
      <c r="T74" s="2"/>
      <c r="U74" s="2"/>
      <c r="V74" s="23"/>
      <c r="W74" s="2"/>
      <c r="X74" s="2">
        <f t="shared" si="2"/>
        <v>-8156.82</v>
      </c>
      <c r="Y74" s="2"/>
      <c r="Z74" s="23">
        <f t="shared" si="3"/>
        <v>0</v>
      </c>
    </row>
    <row r="75" spans="1:26" s="24" customFormat="1" hidden="1" outlineLevel="1" x14ac:dyDescent="0.25">
      <c r="A75" s="51"/>
      <c r="B75" s="11" t="str">
        <f>CONCATENATE("          ", "4241", " - ", "SALES RETURN TAXABLE-LOGO GIFT")</f>
        <v xml:space="preserve">          4241 - SALES RETURN TAXABLE-LOGO GIFT</v>
      </c>
      <c r="C75" s="11"/>
      <c r="D75" s="2">
        <f>-986.21</f>
        <v>-986.21</v>
      </c>
      <c r="E75" s="2"/>
      <c r="F75" s="23"/>
      <c r="G75" s="2"/>
      <c r="H75" s="2"/>
      <c r="I75" s="2"/>
      <c r="J75" s="23"/>
      <c r="K75" s="2"/>
      <c r="L75" s="2">
        <f t="shared" si="0"/>
        <v>-986.21</v>
      </c>
      <c r="M75" s="2"/>
      <c r="N75" s="23">
        <f t="shared" si="1"/>
        <v>0</v>
      </c>
      <c r="O75" s="11"/>
      <c r="P75" s="2">
        <f>-1328.19</f>
        <v>-1328.19</v>
      </c>
      <c r="Q75" s="2"/>
      <c r="R75" s="23"/>
      <c r="S75" s="2"/>
      <c r="T75" s="2"/>
      <c r="U75" s="2"/>
      <c r="V75" s="23"/>
      <c r="W75" s="2"/>
      <c r="X75" s="2">
        <f t="shared" si="2"/>
        <v>-1328.19</v>
      </c>
      <c r="Y75" s="2"/>
      <c r="Z75" s="23">
        <f t="shared" si="3"/>
        <v>0</v>
      </c>
    </row>
    <row r="76" spans="1:26" s="24" customFormat="1" hidden="1" outlineLevel="1" x14ac:dyDescent="0.25">
      <c r="A76" s="51"/>
      <c r="B76" s="11" t="str">
        <f>CONCATENATE("          ", "4242", " - ", "SALES RETURN TAXABLE-EVERYDAY")</f>
        <v xml:space="preserve">          4242 - SALES RETURN TAXABLE-EVERYDAY</v>
      </c>
      <c r="C76" s="11"/>
      <c r="D76" s="2">
        <f>-470.53</f>
        <v>-470.53</v>
      </c>
      <c r="E76" s="2"/>
      <c r="F76" s="23"/>
      <c r="G76" s="2"/>
      <c r="H76" s="2"/>
      <c r="I76" s="2"/>
      <c r="J76" s="23"/>
      <c r="K76" s="2"/>
      <c r="L76" s="2">
        <f t="shared" si="0"/>
        <v>-470.53</v>
      </c>
      <c r="M76" s="2"/>
      <c r="N76" s="23">
        <f t="shared" si="1"/>
        <v>0</v>
      </c>
      <c r="O76" s="11"/>
      <c r="P76" s="2">
        <f>-649.49</f>
        <v>-649.49</v>
      </c>
      <c r="Q76" s="2"/>
      <c r="R76" s="23"/>
      <c r="S76" s="2"/>
      <c r="T76" s="2"/>
      <c r="U76" s="2"/>
      <c r="V76" s="23"/>
      <c r="W76" s="2"/>
      <c r="X76" s="2">
        <f t="shared" si="2"/>
        <v>-649.49</v>
      </c>
      <c r="Y76" s="2"/>
      <c r="Z76" s="23">
        <f t="shared" si="3"/>
        <v>0</v>
      </c>
    </row>
    <row r="77" spans="1:26" s="24" customFormat="1" hidden="1" outlineLevel="1" x14ac:dyDescent="0.25">
      <c r="A77" s="51"/>
      <c r="B77" s="11" t="str">
        <f>CONCATENATE("          ", "4243", " - ", "SALES RETURN TAXABLE-CARDS")</f>
        <v xml:space="preserve">          4243 - SALES RETURN TAXABLE-CARDS</v>
      </c>
      <c r="C77" s="11"/>
      <c r="D77" s="2">
        <f>-93.43</f>
        <v>-93.43</v>
      </c>
      <c r="E77" s="2"/>
      <c r="F77" s="23"/>
      <c r="G77" s="2"/>
      <c r="H77" s="2"/>
      <c r="I77" s="2"/>
      <c r="J77" s="23"/>
      <c r="K77" s="2"/>
      <c r="L77" s="2">
        <f t="shared" si="0"/>
        <v>-93.43</v>
      </c>
      <c r="M77" s="2"/>
      <c r="N77" s="23">
        <f t="shared" si="1"/>
        <v>0</v>
      </c>
      <c r="O77" s="11"/>
      <c r="P77" s="2">
        <f>-93.43</f>
        <v>-93.43</v>
      </c>
      <c r="Q77" s="2"/>
      <c r="R77" s="23"/>
      <c r="S77" s="2"/>
      <c r="T77" s="2"/>
      <c r="U77" s="2"/>
      <c r="V77" s="23"/>
      <c r="W77" s="2"/>
      <c r="X77" s="2">
        <f t="shared" si="2"/>
        <v>-93.43</v>
      </c>
      <c r="Y77" s="2"/>
      <c r="Z77" s="23">
        <f t="shared" si="3"/>
        <v>0</v>
      </c>
    </row>
    <row r="78" spans="1:26" s="24" customFormat="1" hidden="1" outlineLevel="1" x14ac:dyDescent="0.25">
      <c r="A78" s="51"/>
      <c r="B78" s="11" t="str">
        <f>CONCATENATE("          ", "4244", " - ", "SALES RETURN TAXABLE-ACCESSORI")</f>
        <v xml:space="preserve">          4244 - SALES RETURN TAXABLE-ACCESSORI</v>
      </c>
      <c r="C78" s="11"/>
      <c r="D78" s="2">
        <f>-350.99</f>
        <v>-350.99</v>
      </c>
      <c r="E78" s="2"/>
      <c r="F78" s="23"/>
      <c r="G78" s="2"/>
      <c r="H78" s="2"/>
      <c r="I78" s="2"/>
      <c r="J78" s="23"/>
      <c r="K78" s="2"/>
      <c r="L78" s="2">
        <f t="shared" si="0"/>
        <v>-350.99</v>
      </c>
      <c r="M78" s="2"/>
      <c r="N78" s="23">
        <f t="shared" si="1"/>
        <v>0</v>
      </c>
      <c r="O78" s="11"/>
      <c r="P78" s="2">
        <f>-350.99</f>
        <v>-350.99</v>
      </c>
      <c r="Q78" s="2"/>
      <c r="R78" s="23"/>
      <c r="S78" s="2"/>
      <c r="T78" s="2"/>
      <c r="U78" s="2"/>
      <c r="V78" s="23"/>
      <c r="W78" s="2"/>
      <c r="X78" s="2">
        <f t="shared" si="2"/>
        <v>-350.99</v>
      </c>
      <c r="Y78" s="2"/>
      <c r="Z78" s="23">
        <f t="shared" si="3"/>
        <v>0</v>
      </c>
    </row>
    <row r="79" spans="1:26" s="24" customFormat="1" hidden="1" outlineLevel="1" x14ac:dyDescent="0.25">
      <c r="A79" s="51"/>
      <c r="B79" s="11" t="str">
        <f>CONCATENATE("          ", "4245", " - ", "SALES RETURN TAXABLE-SPECIAL O")</f>
        <v xml:space="preserve">          4245 - SALES RETURN TAXABLE-SPECIAL O</v>
      </c>
      <c r="C79" s="11"/>
      <c r="D79" s="2">
        <f>-57.96</f>
        <v>-57.96</v>
      </c>
      <c r="E79" s="2"/>
      <c r="F79" s="23"/>
      <c r="G79" s="2"/>
      <c r="H79" s="2"/>
      <c r="I79" s="2"/>
      <c r="J79" s="23"/>
      <c r="K79" s="2"/>
      <c r="L79" s="2">
        <f t="shared" si="0"/>
        <v>-57.96</v>
      </c>
      <c r="M79" s="2"/>
      <c r="N79" s="23">
        <f t="shared" si="1"/>
        <v>0</v>
      </c>
      <c r="O79" s="11"/>
      <c r="P79" s="2">
        <f>-1178.96</f>
        <v>-1178.96</v>
      </c>
      <c r="Q79" s="2"/>
      <c r="R79" s="23"/>
      <c r="S79" s="2"/>
      <c r="T79" s="2"/>
      <c r="U79" s="2"/>
      <c r="V79" s="23"/>
      <c r="W79" s="2"/>
      <c r="X79" s="2">
        <f t="shared" si="2"/>
        <v>-1178.96</v>
      </c>
      <c r="Y79" s="2"/>
      <c r="Z79" s="23">
        <f t="shared" si="3"/>
        <v>0</v>
      </c>
    </row>
    <row r="80" spans="1:26" s="24" customFormat="1" hidden="1" outlineLevel="1" x14ac:dyDescent="0.25">
      <c r="A80" s="51"/>
      <c r="B80" s="11" t="str">
        <f>CONCATENATE("          ", "4281", " - ", "SALES RETURN TAXABLE-ELECTRONI")</f>
        <v xml:space="preserve">          4281 - SALES RETURN TAXABLE-ELECTRONI</v>
      </c>
      <c r="C80" s="11"/>
      <c r="D80" s="2">
        <f>-7424.23</f>
        <v>-7424.23</v>
      </c>
      <c r="E80" s="2"/>
      <c r="F80" s="23"/>
      <c r="G80" s="2"/>
      <c r="H80" s="2"/>
      <c r="I80" s="2"/>
      <c r="J80" s="23"/>
      <c r="K80" s="2"/>
      <c r="L80" s="2">
        <f t="shared" si="0"/>
        <v>-7424.23</v>
      </c>
      <c r="M80" s="2"/>
      <c r="N80" s="23">
        <f t="shared" si="1"/>
        <v>0</v>
      </c>
      <c r="O80" s="11"/>
      <c r="P80" s="2">
        <f>-13716.22</f>
        <v>-13716.22</v>
      </c>
      <c r="Q80" s="2"/>
      <c r="R80" s="23"/>
      <c r="S80" s="2"/>
      <c r="T80" s="2"/>
      <c r="U80" s="2"/>
      <c r="V80" s="23"/>
      <c r="W80" s="2"/>
      <c r="X80" s="2">
        <f t="shared" si="2"/>
        <v>-13716.22</v>
      </c>
      <c r="Y80" s="2"/>
      <c r="Z80" s="23">
        <f t="shared" si="3"/>
        <v>0</v>
      </c>
    </row>
    <row r="81" spans="1:26" s="24" customFormat="1" hidden="1" outlineLevel="1" x14ac:dyDescent="0.25">
      <c r="A81" s="51"/>
      <c r="B81" s="11" t="str">
        <f>CONCATENATE("          ", "4282", " - ", "SALES RETURN TAXABLE-COMPUTER")</f>
        <v xml:space="preserve">          4282 - SALES RETURN TAXABLE-COMPUTER</v>
      </c>
      <c r="C81" s="11"/>
      <c r="D81" s="2">
        <f>-15442</f>
        <v>-15442</v>
      </c>
      <c r="E81" s="2"/>
      <c r="F81" s="23"/>
      <c r="G81" s="2"/>
      <c r="H81" s="2"/>
      <c r="I81" s="2"/>
      <c r="J81" s="23"/>
      <c r="K81" s="2"/>
      <c r="L81" s="2">
        <f t="shared" si="0"/>
        <v>-15442</v>
      </c>
      <c r="M81" s="2"/>
      <c r="N81" s="23">
        <f t="shared" si="1"/>
        <v>0</v>
      </c>
      <c r="O81" s="11"/>
      <c r="P81" s="2">
        <f>-33649</f>
        <v>-33649</v>
      </c>
      <c r="Q81" s="2"/>
      <c r="R81" s="23"/>
      <c r="S81" s="2"/>
      <c r="T81" s="2"/>
      <c r="U81" s="2"/>
      <c r="V81" s="23"/>
      <c r="W81" s="2"/>
      <c r="X81" s="2">
        <f t="shared" si="2"/>
        <v>-33649</v>
      </c>
      <c r="Y81" s="2"/>
      <c r="Z81" s="23">
        <f t="shared" si="3"/>
        <v>0</v>
      </c>
    </row>
    <row r="82" spans="1:26" s="24" customFormat="1" hidden="1" outlineLevel="1" x14ac:dyDescent="0.25">
      <c r="A82" s="51"/>
      <c r="B82" s="11" t="str">
        <f>CONCATENATE("          ", "4283", " - ", "SALES RETURN TAXABLE-COMPUTER")</f>
        <v xml:space="preserve">          4283 - SALES RETURN TAXABLE-COMPUTER</v>
      </c>
      <c r="C82" s="11"/>
      <c r="D82" s="2">
        <f>-699.9</f>
        <v>-699.9</v>
      </c>
      <c r="E82" s="2"/>
      <c r="F82" s="23"/>
      <c r="G82" s="2"/>
      <c r="H82" s="2"/>
      <c r="I82" s="2"/>
      <c r="J82" s="23"/>
      <c r="K82" s="2"/>
      <c r="L82" s="2">
        <f t="shared" si="0"/>
        <v>-699.9</v>
      </c>
      <c r="M82" s="2"/>
      <c r="N82" s="23">
        <f t="shared" si="1"/>
        <v>0</v>
      </c>
      <c r="O82" s="11"/>
      <c r="P82" s="2">
        <f>-1518.83</f>
        <v>-1518.83</v>
      </c>
      <c r="Q82" s="2"/>
      <c r="R82" s="23"/>
      <c r="S82" s="2"/>
      <c r="T82" s="2"/>
      <c r="U82" s="2"/>
      <c r="V82" s="23"/>
      <c r="W82" s="2"/>
      <c r="X82" s="2">
        <f t="shared" si="2"/>
        <v>-1518.83</v>
      </c>
      <c r="Y82" s="2"/>
      <c r="Z82" s="23">
        <f t="shared" si="3"/>
        <v>0</v>
      </c>
    </row>
    <row r="83" spans="1:26" s="24" customFormat="1" hidden="1" outlineLevel="1" x14ac:dyDescent="0.25">
      <c r="A83" s="51"/>
      <c r="B83" s="11" t="str">
        <f>CONCATENATE("          ", "4286", " - ", "SALES RETURN TAXABLE-COMPUTER")</f>
        <v xml:space="preserve">          4286 - SALES RETURN TAXABLE-COMPUTER</v>
      </c>
      <c r="C83" s="11"/>
      <c r="D83" s="2">
        <f>-153.96</f>
        <v>-153.96</v>
      </c>
      <c r="E83" s="2"/>
      <c r="F83" s="23"/>
      <c r="G83" s="2"/>
      <c r="H83" s="2"/>
      <c r="I83" s="2"/>
      <c r="J83" s="23"/>
      <c r="K83" s="2"/>
      <c r="L83" s="2">
        <f t="shared" si="0"/>
        <v>-153.96</v>
      </c>
      <c r="M83" s="2"/>
      <c r="N83" s="23">
        <f t="shared" si="1"/>
        <v>0</v>
      </c>
      <c r="O83" s="11"/>
      <c r="P83" s="2">
        <f>-153.96</f>
        <v>-153.96</v>
      </c>
      <c r="Q83" s="2"/>
      <c r="R83" s="23"/>
      <c r="S83" s="2"/>
      <c r="T83" s="2"/>
      <c r="U83" s="2"/>
      <c r="V83" s="23"/>
      <c r="W83" s="2"/>
      <c r="X83" s="2">
        <f t="shared" si="2"/>
        <v>-153.96</v>
      </c>
      <c r="Y83" s="2"/>
      <c r="Z83" s="23">
        <f t="shared" si="3"/>
        <v>0</v>
      </c>
    </row>
    <row r="84" spans="1:26" s="24" customFormat="1" hidden="1" outlineLevel="1" x14ac:dyDescent="0.25">
      <c r="A84" s="51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>-20.25</f>
        <v>-20.25</v>
      </c>
      <c r="E84" s="2"/>
      <c r="F84" s="23"/>
      <c r="G84" s="2"/>
      <c r="H84" s="2"/>
      <c r="I84" s="2"/>
      <c r="J84" s="23"/>
      <c r="K84" s="2"/>
      <c r="L84" s="2">
        <f t="shared" si="0"/>
        <v>-20.25</v>
      </c>
      <c r="M84" s="2"/>
      <c r="N84" s="23">
        <f t="shared" si="1"/>
        <v>0</v>
      </c>
      <c r="O84" s="11"/>
      <c r="P84" s="2">
        <f>-20.25</f>
        <v>-20.25</v>
      </c>
      <c r="Q84" s="2"/>
      <c r="R84" s="23"/>
      <c r="S84" s="2"/>
      <c r="T84" s="2"/>
      <c r="U84" s="2"/>
      <c r="V84" s="23"/>
      <c r="W84" s="2"/>
      <c r="X84" s="2">
        <f t="shared" si="2"/>
        <v>-20.25</v>
      </c>
      <c r="Y84" s="2"/>
      <c r="Z84" s="23">
        <f t="shared" si="3"/>
        <v>0</v>
      </c>
    </row>
    <row r="85" spans="1:26" s="24" customFormat="1" hidden="1" outlineLevel="1" x14ac:dyDescent="0.25">
      <c r="A85" s="51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>-346.17</f>
        <v>-346.17</v>
      </c>
      <c r="E85" s="2"/>
      <c r="F85" s="23"/>
      <c r="G85" s="2"/>
      <c r="H85" s="2"/>
      <c r="I85" s="2"/>
      <c r="J85" s="23"/>
      <c r="K85" s="2"/>
      <c r="L85" s="2">
        <f t="shared" si="0"/>
        <v>-346.17</v>
      </c>
      <c r="M85" s="2"/>
      <c r="N85" s="23">
        <f t="shared" si="1"/>
        <v>0</v>
      </c>
      <c r="O85" s="11"/>
      <c r="P85" s="2">
        <f>-409.84</f>
        <v>-409.84</v>
      </c>
      <c r="Q85" s="2"/>
      <c r="R85" s="23"/>
      <c r="S85" s="2"/>
      <c r="T85" s="2"/>
      <c r="U85" s="2"/>
      <c r="V85" s="23"/>
      <c r="W85" s="2"/>
      <c r="X85" s="2">
        <f t="shared" si="2"/>
        <v>-409.84</v>
      </c>
      <c r="Y85" s="2"/>
      <c r="Z85" s="23">
        <f t="shared" si="3"/>
        <v>0</v>
      </c>
    </row>
    <row r="86" spans="1:26" s="24" customFormat="1" hidden="1" outlineLevel="1" x14ac:dyDescent="0.25">
      <c r="A86" s="51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>-5500.68</f>
        <v>-5500.68</v>
      </c>
      <c r="E86" s="2"/>
      <c r="F86" s="23"/>
      <c r="G86" s="2"/>
      <c r="H86" s="2"/>
      <c r="I86" s="2"/>
      <c r="J86" s="23"/>
      <c r="K86" s="2"/>
      <c r="L86" s="2">
        <f t="shared" si="0"/>
        <v>-5500.68</v>
      </c>
      <c r="M86" s="2"/>
      <c r="N86" s="23">
        <f t="shared" si="1"/>
        <v>0</v>
      </c>
      <c r="O86" s="11"/>
      <c r="P86" s="2">
        <f>-5952.73</f>
        <v>-5952.73</v>
      </c>
      <c r="Q86" s="2"/>
      <c r="R86" s="23"/>
      <c r="S86" s="2"/>
      <c r="T86" s="2"/>
      <c r="U86" s="2"/>
      <c r="V86" s="23"/>
      <c r="W86" s="2"/>
      <c r="X86" s="2">
        <f t="shared" si="2"/>
        <v>-5952.73</v>
      </c>
      <c r="Y86" s="2"/>
      <c r="Z86" s="23">
        <f t="shared" si="3"/>
        <v>0</v>
      </c>
    </row>
    <row r="87" spans="1:26" s="24" customFormat="1" hidden="1" outlineLevel="1" x14ac:dyDescent="0.25">
      <c r="A87" s="51"/>
      <c r="B87" s="11" t="str">
        <f>CONCATENATE("          ", "4340", " - ", "SALES RETURN NON TAXABLE-LOGO")</f>
        <v xml:space="preserve">          4340 - SALES RETURN NON TAXABLE-LOGO</v>
      </c>
      <c r="C87" s="11"/>
      <c r="D87" s="2">
        <f>-69.9</f>
        <v>-69.900000000000006</v>
      </c>
      <c r="E87" s="2"/>
      <c r="F87" s="23"/>
      <c r="G87" s="2"/>
      <c r="H87" s="2"/>
      <c r="I87" s="2"/>
      <c r="J87" s="23"/>
      <c r="K87" s="2"/>
      <c r="L87" s="2">
        <f t="shared" si="0"/>
        <v>-69.900000000000006</v>
      </c>
      <c r="M87" s="2"/>
      <c r="N87" s="23">
        <f t="shared" si="1"/>
        <v>0</v>
      </c>
      <c r="O87" s="11"/>
      <c r="P87" s="2">
        <f>-504.14</f>
        <v>-504.14</v>
      </c>
      <c r="Q87" s="2"/>
      <c r="R87" s="23"/>
      <c r="S87" s="2"/>
      <c r="T87" s="2"/>
      <c r="U87" s="2"/>
      <c r="V87" s="23"/>
      <c r="W87" s="2"/>
      <c r="X87" s="2">
        <f t="shared" si="2"/>
        <v>-504.14</v>
      </c>
      <c r="Y87" s="2"/>
      <c r="Z87" s="23">
        <f t="shared" si="3"/>
        <v>0</v>
      </c>
    </row>
    <row r="88" spans="1:26" s="24" customFormat="1" hidden="1" outlineLevel="1" x14ac:dyDescent="0.25">
      <c r="A88" s="51"/>
      <c r="B88" s="11" t="str">
        <f>CONCATENATE("          ", "4341", " - ", "SALES RETURN NON TAXABLE-LOGO")</f>
        <v xml:space="preserve">          4341 - SALES RETURN NON TAXABLE-LOGO</v>
      </c>
      <c r="C88" s="11"/>
      <c r="D88" s="2">
        <f>0</f>
        <v>0</v>
      </c>
      <c r="E88" s="2"/>
      <c r="F88" s="23"/>
      <c r="G88" s="2"/>
      <c r="H88" s="2"/>
      <c r="I88" s="2"/>
      <c r="J88" s="23"/>
      <c r="K88" s="2"/>
      <c r="L88" s="2">
        <f t="shared" si="0"/>
        <v>0</v>
      </c>
      <c r="M88" s="2"/>
      <c r="N88" s="23">
        <f t="shared" si="1"/>
        <v>0</v>
      </c>
      <c r="O88" s="11"/>
      <c r="P88" s="2">
        <f>-16.95</f>
        <v>-16.95</v>
      </c>
      <c r="Q88" s="2"/>
      <c r="R88" s="23"/>
      <c r="S88" s="2"/>
      <c r="T88" s="2"/>
      <c r="U88" s="2"/>
      <c r="V88" s="23"/>
      <c r="W88" s="2"/>
      <c r="X88" s="2">
        <f t="shared" si="2"/>
        <v>-16.95</v>
      </c>
      <c r="Y88" s="2"/>
      <c r="Z88" s="23">
        <f t="shared" si="3"/>
        <v>0</v>
      </c>
    </row>
    <row r="89" spans="1:26" s="24" customFormat="1" hidden="1" outlineLevel="1" x14ac:dyDescent="0.25">
      <c r="A89" s="51"/>
      <c r="B89" s="11" t="str">
        <f>CONCATENATE("          ", "4342", " - ", "SALES RETURN NON TAXABLE-EVERY")</f>
        <v xml:space="preserve">          4342 - SALES RETURN NON TAXABLE-EVERY</v>
      </c>
      <c r="C89" s="11"/>
      <c r="D89" s="2">
        <f>-13.9</f>
        <v>-13.9</v>
      </c>
      <c r="E89" s="2"/>
      <c r="F89" s="23"/>
      <c r="G89" s="2"/>
      <c r="H89" s="2"/>
      <c r="I89" s="2"/>
      <c r="J89" s="23"/>
      <c r="K89" s="2"/>
      <c r="L89" s="2">
        <f t="shared" si="0"/>
        <v>-13.9</v>
      </c>
      <c r="M89" s="2"/>
      <c r="N89" s="23">
        <f t="shared" si="1"/>
        <v>0</v>
      </c>
      <c r="O89" s="11"/>
      <c r="P89" s="2">
        <f>-93.75</f>
        <v>-93.75</v>
      </c>
      <c r="Q89" s="2"/>
      <c r="R89" s="23"/>
      <c r="S89" s="2"/>
      <c r="T89" s="2"/>
      <c r="U89" s="2"/>
      <c r="V89" s="23"/>
      <c r="W89" s="2"/>
      <c r="X89" s="2">
        <f t="shared" si="2"/>
        <v>-93.75</v>
      </c>
      <c r="Y89" s="2"/>
      <c r="Z89" s="23">
        <f t="shared" si="3"/>
        <v>0</v>
      </c>
    </row>
    <row r="90" spans="1:26" s="24" customFormat="1" hidden="1" outlineLevel="1" x14ac:dyDescent="0.25">
      <c r="A90" s="51"/>
      <c r="B90" s="11" t="str">
        <f>CONCATENATE("          ", "4381", " - ", "SALES RETURN NON TAXABLE-ELECT")</f>
        <v xml:space="preserve">          4381 - SALES RETURN NON TAXABLE-ELECT</v>
      </c>
      <c r="C90" s="11"/>
      <c r="D90" s="2">
        <f>-3625.2</f>
        <v>-3625.2</v>
      </c>
      <c r="E90" s="2"/>
      <c r="F90" s="23"/>
      <c r="G90" s="2"/>
      <c r="H90" s="2"/>
      <c r="I90" s="2"/>
      <c r="J90" s="23"/>
      <c r="K90" s="2"/>
      <c r="L90" s="2">
        <f t="shared" si="0"/>
        <v>-3625.2</v>
      </c>
      <c r="M90" s="2"/>
      <c r="N90" s="23">
        <f t="shared" si="1"/>
        <v>0</v>
      </c>
      <c r="O90" s="11"/>
      <c r="P90" s="2">
        <f>-5374.2</f>
        <v>-5374.2</v>
      </c>
      <c r="Q90" s="2"/>
      <c r="R90" s="23"/>
      <c r="S90" s="2"/>
      <c r="T90" s="2"/>
      <c r="U90" s="2"/>
      <c r="V90" s="23"/>
      <c r="W90" s="2"/>
      <c r="X90" s="2">
        <f t="shared" si="2"/>
        <v>-5374.2</v>
      </c>
      <c r="Y90" s="2"/>
      <c r="Z90" s="23">
        <f t="shared" si="3"/>
        <v>0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2" customFormat="1" collapsed="1" x14ac:dyDescent="0.25">
      <c r="A92" s="10"/>
      <c r="B92" s="25" t="s">
        <v>8</v>
      </c>
      <c r="C92" s="10"/>
      <c r="D92" s="4">
        <f>SUM(OSRRefD16x_0)</f>
        <v>1608162.8300000003</v>
      </c>
      <c r="E92" s="4"/>
      <c r="F92" s="12">
        <f t="shared" ref="F92:F123" si="5">IF(D$12=0,0,D92/D$12)</f>
        <v>0.72734892218640745</v>
      </c>
      <c r="G92" s="4"/>
      <c r="H92" s="4">
        <f>SUM(OSRRefH16x_0)</f>
        <v>1705870</v>
      </c>
      <c r="I92" s="4"/>
      <c r="J92" s="12">
        <f t="shared" ref="J92:J123" si="6">IF(H$12=0,0,H92/H$12)</f>
        <v>0.61504509172117228</v>
      </c>
      <c r="K92" s="4"/>
      <c r="L92" s="4">
        <f t="shared" ref="L92:L123" si="7">+D92-H92</f>
        <v>-97707.169999999693</v>
      </c>
      <c r="M92" s="4"/>
      <c r="N92" s="12">
        <f t="shared" ref="N92:N123" si="8">IF(H92=0,0,L92/H92)</f>
        <v>-5.7277031661263571E-2</v>
      </c>
      <c r="O92" s="10"/>
      <c r="P92" s="4">
        <f>SUM(OSRRefP16x_0)</f>
        <v>1944976.85</v>
      </c>
      <c r="Q92" s="4"/>
      <c r="R92" s="12">
        <f t="shared" ref="R92:R123" si="9">IF(P$12=0,0,P92/P$12)</f>
        <v>0.72360450930399067</v>
      </c>
      <c r="S92" s="4"/>
      <c r="T92" s="4">
        <f>SUM(OSRRefT16x_0)</f>
        <v>2122329</v>
      </c>
      <c r="U92" s="4"/>
      <c r="V92" s="12">
        <f t="shared" ref="V92:V123" si="10">IF(T$12=0,0,T92/T$12)</f>
        <v>0.6126946707291091</v>
      </c>
      <c r="W92" s="4"/>
      <c r="X92" s="4">
        <f t="shared" ref="X92:X123" si="11">+P92-T92</f>
        <v>-177352.14999999991</v>
      </c>
      <c r="Y92" s="4"/>
      <c r="Z92" s="12">
        <f t="shared" ref="Z92:Z123" si="12">IF(T92=0,0,X92/T92)</f>
        <v>-8.356487142191428E-2</v>
      </c>
    </row>
    <row r="93" spans="1:26" s="24" customFormat="1" hidden="1" outlineLevel="1" x14ac:dyDescent="0.25">
      <c r="A93" s="51"/>
      <c r="B93" s="11" t="str">
        <f>CONCATENATE("          ", "5000", " - ", "PURCHASES @ COST")</f>
        <v xml:space="preserve">          5000 - PURCHASES @ COST</v>
      </c>
      <c r="C93" s="11"/>
      <c r="D93" s="2"/>
      <c r="E93" s="2"/>
      <c r="F93" s="23">
        <f t="shared" si="5"/>
        <v>0</v>
      </c>
      <c r="G93" s="2"/>
      <c r="H93" s="2">
        <v>1705870</v>
      </c>
      <c r="I93" s="2"/>
      <c r="J93" s="23">
        <f t="shared" si="6"/>
        <v>0.61504509172117228</v>
      </c>
      <c r="K93" s="2"/>
      <c r="L93" s="2">
        <f t="shared" si="7"/>
        <v>-1705870</v>
      </c>
      <c r="M93" s="2"/>
      <c r="N93" s="23">
        <f t="shared" si="8"/>
        <v>-1</v>
      </c>
      <c r="O93" s="11"/>
      <c r="P93" s="2"/>
      <c r="Q93" s="2"/>
      <c r="R93" s="23">
        <f t="shared" si="9"/>
        <v>0</v>
      </c>
      <c r="S93" s="2"/>
      <c r="T93" s="2">
        <v>2122329</v>
      </c>
      <c r="U93" s="2"/>
      <c r="V93" s="23">
        <f t="shared" si="10"/>
        <v>0.6126946707291091</v>
      </c>
      <c r="W93" s="2"/>
      <c r="X93" s="2">
        <f t="shared" si="11"/>
        <v>-2122329</v>
      </c>
      <c r="Y93" s="2"/>
      <c r="Z93" s="23">
        <f t="shared" si="12"/>
        <v>-1</v>
      </c>
    </row>
    <row r="94" spans="1:26" s="24" customFormat="1" hidden="1" outlineLevel="1" x14ac:dyDescent="0.25">
      <c r="A94" s="51"/>
      <c r="B94" s="11" t="str">
        <f>CONCATENATE("          ", "5001", " - ", "PURCHASES @ COST-NEW TEXT")</f>
        <v xml:space="preserve">          5001 - PURCHASES @ COST-NEW TEXT</v>
      </c>
      <c r="C94" s="11"/>
      <c r="D94" s="2">
        <v>538222.14</v>
      </c>
      <c r="E94" s="2"/>
      <c r="F94" s="23">
        <f t="shared" si="5"/>
        <v>0.24343013413999975</v>
      </c>
      <c r="G94" s="2"/>
      <c r="H94" s="2"/>
      <c r="I94" s="2"/>
      <c r="J94" s="23">
        <f t="shared" si="6"/>
        <v>0</v>
      </c>
      <c r="K94" s="2"/>
      <c r="L94" s="2">
        <f t="shared" si="7"/>
        <v>538222.14</v>
      </c>
      <c r="M94" s="2"/>
      <c r="N94" s="23">
        <f t="shared" si="8"/>
        <v>0</v>
      </c>
      <c r="O94" s="11"/>
      <c r="P94" s="2">
        <v>691332.77</v>
      </c>
      <c r="Q94" s="2"/>
      <c r="R94" s="23">
        <f t="shared" si="9"/>
        <v>0.25720178098861107</v>
      </c>
      <c r="S94" s="2"/>
      <c r="T94" s="2"/>
      <c r="U94" s="2"/>
      <c r="V94" s="23">
        <f t="shared" si="10"/>
        <v>0</v>
      </c>
      <c r="W94" s="2"/>
      <c r="X94" s="2">
        <f t="shared" si="11"/>
        <v>691332.77</v>
      </c>
      <c r="Y94" s="2"/>
      <c r="Z94" s="23">
        <f t="shared" si="12"/>
        <v>0</v>
      </c>
    </row>
    <row r="95" spans="1:26" s="24" customFormat="1" hidden="1" outlineLevel="1" x14ac:dyDescent="0.25">
      <c r="A95" s="51"/>
      <c r="B95" s="11" t="str">
        <f>CONCATENATE("          ", "5002", " - ", "PURCHASES @ COST-USED TEXT")</f>
        <v xml:space="preserve">          5002 - PURCHASES @ COST-USED TEXT</v>
      </c>
      <c r="C95" s="11"/>
      <c r="D95" s="2">
        <v>128042.67</v>
      </c>
      <c r="E95" s="2"/>
      <c r="F95" s="23">
        <f t="shared" si="5"/>
        <v>5.7911858352285031E-2</v>
      </c>
      <c r="G95" s="2"/>
      <c r="H95" s="2"/>
      <c r="I95" s="2"/>
      <c r="J95" s="23">
        <f t="shared" si="6"/>
        <v>0</v>
      </c>
      <c r="K95" s="2"/>
      <c r="L95" s="2">
        <f t="shared" si="7"/>
        <v>128042.67</v>
      </c>
      <c r="M95" s="2"/>
      <c r="N95" s="23">
        <f t="shared" si="8"/>
        <v>0</v>
      </c>
      <c r="O95" s="11"/>
      <c r="P95" s="2">
        <v>188367.52</v>
      </c>
      <c r="Q95" s="2"/>
      <c r="R95" s="23">
        <f t="shared" si="9"/>
        <v>7.0079799087793576E-2</v>
      </c>
      <c r="S95" s="2"/>
      <c r="T95" s="2"/>
      <c r="U95" s="2"/>
      <c r="V95" s="23">
        <f t="shared" si="10"/>
        <v>0</v>
      </c>
      <c r="W95" s="2"/>
      <c r="X95" s="2">
        <f t="shared" si="11"/>
        <v>188367.52</v>
      </c>
      <c r="Y95" s="2"/>
      <c r="Z95" s="23">
        <f t="shared" si="12"/>
        <v>0</v>
      </c>
    </row>
    <row r="96" spans="1:26" s="24" customFormat="1" hidden="1" outlineLevel="1" x14ac:dyDescent="0.25">
      <c r="A96" s="51"/>
      <c r="B96" s="11" t="str">
        <f>CONCATENATE("          ", "5003", " - ", "PURCHASES @ COST-RENTAL TEXT")</f>
        <v xml:space="preserve">          5003 - PURCHASES @ COST-RENTAL TEXT</v>
      </c>
      <c r="C96" s="11"/>
      <c r="D96" s="2">
        <v>58.8</v>
      </c>
      <c r="E96" s="2"/>
      <c r="F96" s="23">
        <f t="shared" si="5"/>
        <v>2.6594394439871956E-5</v>
      </c>
      <c r="G96" s="2"/>
      <c r="H96" s="2"/>
      <c r="I96" s="2"/>
      <c r="J96" s="23">
        <f t="shared" si="6"/>
        <v>0</v>
      </c>
      <c r="K96" s="2"/>
      <c r="L96" s="2">
        <f t="shared" si="7"/>
        <v>58.8</v>
      </c>
      <c r="M96" s="2"/>
      <c r="N96" s="23">
        <f t="shared" si="8"/>
        <v>0</v>
      </c>
      <c r="O96" s="11"/>
      <c r="P96" s="2">
        <v>-11867.84</v>
      </c>
      <c r="Q96" s="2"/>
      <c r="R96" s="23">
        <f t="shared" si="9"/>
        <v>-4.4152826496100823E-3</v>
      </c>
      <c r="S96" s="2"/>
      <c r="T96" s="2"/>
      <c r="U96" s="2"/>
      <c r="V96" s="23">
        <f t="shared" si="10"/>
        <v>0</v>
      </c>
      <c r="W96" s="2"/>
      <c r="X96" s="2">
        <f t="shared" si="11"/>
        <v>-11867.84</v>
      </c>
      <c r="Y96" s="2"/>
      <c r="Z96" s="23">
        <f t="shared" si="12"/>
        <v>0</v>
      </c>
    </row>
    <row r="97" spans="1:26" s="24" customFormat="1" hidden="1" outlineLevel="1" x14ac:dyDescent="0.25">
      <c r="A97" s="51"/>
      <c r="B97" s="11" t="str">
        <f>CONCATENATE("          ", "5004", " - ", "PURCHASES @ COST-DIGITAL TEXT")</f>
        <v xml:space="preserve">          5004 - PURCHASES @ COST-DIGITAL TEXT</v>
      </c>
      <c r="C97" s="11"/>
      <c r="D97" s="2">
        <v>117504.49</v>
      </c>
      <c r="E97" s="2"/>
      <c r="F97" s="23">
        <f t="shared" si="5"/>
        <v>5.3145591080203912E-2</v>
      </c>
      <c r="G97" s="2"/>
      <c r="H97" s="2"/>
      <c r="I97" s="2"/>
      <c r="J97" s="23">
        <f t="shared" si="6"/>
        <v>0</v>
      </c>
      <c r="K97" s="2"/>
      <c r="L97" s="2">
        <f t="shared" si="7"/>
        <v>117504.49</v>
      </c>
      <c r="M97" s="2"/>
      <c r="N97" s="23">
        <f t="shared" si="8"/>
        <v>0</v>
      </c>
      <c r="O97" s="11"/>
      <c r="P97" s="2">
        <v>122429.97</v>
      </c>
      <c r="Q97" s="2"/>
      <c r="R97" s="23">
        <f t="shared" si="9"/>
        <v>4.5548551575794995E-2</v>
      </c>
      <c r="S97" s="2"/>
      <c r="T97" s="2"/>
      <c r="U97" s="2"/>
      <c r="V97" s="23">
        <f t="shared" si="10"/>
        <v>0</v>
      </c>
      <c r="W97" s="2"/>
      <c r="X97" s="2">
        <f t="shared" si="11"/>
        <v>122429.97</v>
      </c>
      <c r="Y97" s="2"/>
      <c r="Z97" s="23">
        <f t="shared" si="12"/>
        <v>0</v>
      </c>
    </row>
    <row r="98" spans="1:26" s="24" customFormat="1" hidden="1" outlineLevel="1" x14ac:dyDescent="0.25">
      <c r="A98" s="51"/>
      <c r="B98" s="11" t="str">
        <f>CONCATENATE("          ", "5013", " - ", "PURCHASES @ COST-TRADE BOOKS")</f>
        <v xml:space="preserve">          5013 - PURCHASES @ COST-TRADE BOOKS</v>
      </c>
      <c r="C98" s="11"/>
      <c r="D98" s="2"/>
      <c r="E98" s="2"/>
      <c r="F98" s="23">
        <f t="shared" si="5"/>
        <v>0</v>
      </c>
      <c r="G98" s="2"/>
      <c r="H98" s="2"/>
      <c r="I98" s="2"/>
      <c r="J98" s="23">
        <f t="shared" si="6"/>
        <v>0</v>
      </c>
      <c r="K98" s="2"/>
      <c r="L98" s="2">
        <f t="shared" si="7"/>
        <v>0</v>
      </c>
      <c r="M98" s="2"/>
      <c r="N98" s="23">
        <f t="shared" si="8"/>
        <v>0</v>
      </c>
      <c r="O98" s="11"/>
      <c r="P98" s="2">
        <v>108.54</v>
      </c>
      <c r="Q98" s="2"/>
      <c r="R98" s="23">
        <f t="shared" si="9"/>
        <v>4.0380960544520181E-5</v>
      </c>
      <c r="S98" s="2"/>
      <c r="T98" s="2"/>
      <c r="U98" s="2"/>
      <c r="V98" s="23">
        <f t="shared" si="10"/>
        <v>0</v>
      </c>
      <c r="W98" s="2"/>
      <c r="X98" s="2">
        <f t="shared" si="11"/>
        <v>108.54</v>
      </c>
      <c r="Y98" s="2"/>
      <c r="Z98" s="23">
        <f t="shared" si="12"/>
        <v>0</v>
      </c>
    </row>
    <row r="99" spans="1:26" s="24" customFormat="1" hidden="1" outlineLevel="1" x14ac:dyDescent="0.25">
      <c r="A99" s="51"/>
      <c r="B99" s="11" t="str">
        <f>CONCATENATE("          ", "5014", " - ", "PURCHASES @ COST-REMAINDERS")</f>
        <v xml:space="preserve">          5014 - PURCHASES @ COST-REMAINDERS</v>
      </c>
      <c r="C99" s="11"/>
      <c r="D99" s="2"/>
      <c r="E99" s="2"/>
      <c r="F99" s="23">
        <f t="shared" si="5"/>
        <v>0</v>
      </c>
      <c r="G99" s="2"/>
      <c r="H99" s="2"/>
      <c r="I99" s="2"/>
      <c r="J99" s="23">
        <f t="shared" si="6"/>
        <v>0</v>
      </c>
      <c r="K99" s="2"/>
      <c r="L99" s="2">
        <f t="shared" si="7"/>
        <v>0</v>
      </c>
      <c r="M99" s="2"/>
      <c r="N99" s="23">
        <f t="shared" si="8"/>
        <v>0</v>
      </c>
      <c r="O99" s="11"/>
      <c r="P99" s="2">
        <v>-12.51</v>
      </c>
      <c r="Q99" s="2"/>
      <c r="R99" s="23">
        <f t="shared" si="9"/>
        <v>-4.6541903115160069E-6</v>
      </c>
      <c r="S99" s="2"/>
      <c r="T99" s="2"/>
      <c r="U99" s="2"/>
      <c r="V99" s="23">
        <f t="shared" si="10"/>
        <v>0</v>
      </c>
      <c r="W99" s="2"/>
      <c r="X99" s="2">
        <f t="shared" si="11"/>
        <v>-12.51</v>
      </c>
      <c r="Y99" s="2"/>
      <c r="Z99" s="23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"5027", " - ", "PURCHASES @ COST-SCHOOL SUPPLI")</f>
        <v xml:space="preserve">          5027 - PURCHASES @ COST-SCHOOL SUPPLI</v>
      </c>
      <c r="C100" s="11"/>
      <c r="D100" s="2"/>
      <c r="E100" s="2"/>
      <c r="F100" s="23">
        <f t="shared" si="5"/>
        <v>0</v>
      </c>
      <c r="G100" s="2"/>
      <c r="H100" s="2"/>
      <c r="I100" s="2"/>
      <c r="J100" s="23">
        <f t="shared" si="6"/>
        <v>0</v>
      </c>
      <c r="K100" s="2"/>
      <c r="L100" s="2">
        <f t="shared" si="7"/>
        <v>0</v>
      </c>
      <c r="M100" s="2"/>
      <c r="N100" s="23">
        <f t="shared" si="8"/>
        <v>0</v>
      </c>
      <c r="O100" s="11"/>
      <c r="P100" s="2">
        <v>8503.4</v>
      </c>
      <c r="Q100" s="2"/>
      <c r="R100" s="23">
        <f t="shared" si="9"/>
        <v>3.1635844840084103E-3</v>
      </c>
      <c r="S100" s="2"/>
      <c r="T100" s="2"/>
      <c r="U100" s="2"/>
      <c r="V100" s="23">
        <f t="shared" si="10"/>
        <v>0</v>
      </c>
      <c r="W100" s="2"/>
      <c r="X100" s="2">
        <f t="shared" si="11"/>
        <v>8503.4</v>
      </c>
      <c r="Y100" s="2"/>
      <c r="Z100" s="23">
        <f t="shared" si="12"/>
        <v>0</v>
      </c>
    </row>
    <row r="101" spans="1:26" s="24" customFormat="1" hidden="1" outlineLevel="1" x14ac:dyDescent="0.25">
      <c r="A101" s="51"/>
      <c r="B101" s="11" t="str">
        <f>CONCATENATE("          ", "5040", " - ", "PURCHASES @ COST-LOGO CLOTHING")</f>
        <v xml:space="preserve">          5040 - PURCHASES @ COST-LOGO CLOTHING</v>
      </c>
      <c r="C101" s="11"/>
      <c r="D101" s="2">
        <v>7628.83</v>
      </c>
      <c r="E101" s="2"/>
      <c r="F101" s="23">
        <f t="shared" si="5"/>
        <v>3.4504101043321151E-3</v>
      </c>
      <c r="G101" s="2"/>
      <c r="H101" s="2"/>
      <c r="I101" s="2"/>
      <c r="J101" s="23">
        <f t="shared" si="6"/>
        <v>0</v>
      </c>
      <c r="K101" s="2"/>
      <c r="L101" s="2">
        <f t="shared" si="7"/>
        <v>7628.83</v>
      </c>
      <c r="M101" s="2"/>
      <c r="N101" s="23">
        <f t="shared" si="8"/>
        <v>0</v>
      </c>
      <c r="O101" s="11"/>
      <c r="P101" s="2">
        <v>9351.9</v>
      </c>
      <c r="Q101" s="2"/>
      <c r="R101" s="23">
        <f t="shared" si="9"/>
        <v>3.4792583832347359E-3</v>
      </c>
      <c r="S101" s="2"/>
      <c r="T101" s="2"/>
      <c r="U101" s="2"/>
      <c r="V101" s="23">
        <f t="shared" si="10"/>
        <v>0</v>
      </c>
      <c r="W101" s="2"/>
      <c r="X101" s="2">
        <f t="shared" si="11"/>
        <v>9351.9</v>
      </c>
      <c r="Y101" s="2"/>
      <c r="Z101" s="23">
        <f t="shared" si="12"/>
        <v>0</v>
      </c>
    </row>
    <row r="102" spans="1:26" s="24" customFormat="1" hidden="1" outlineLevel="1" x14ac:dyDescent="0.25">
      <c r="A102" s="51"/>
      <c r="B102" s="11" t="str">
        <f>CONCATENATE("          ", "5041", " - ", "PURCHASES @ COST-LOGO GIFTS")</f>
        <v xml:space="preserve">          5041 - PURCHASES @ COST-LOGO GIFTS</v>
      </c>
      <c r="C102" s="11"/>
      <c r="D102" s="2">
        <v>1843.29</v>
      </c>
      <c r="E102" s="2"/>
      <c r="F102" s="23">
        <f t="shared" si="5"/>
        <v>8.3369355998421052E-4</v>
      </c>
      <c r="G102" s="2"/>
      <c r="H102" s="2"/>
      <c r="I102" s="2"/>
      <c r="J102" s="23">
        <f t="shared" si="6"/>
        <v>0</v>
      </c>
      <c r="K102" s="2"/>
      <c r="L102" s="2">
        <f t="shared" si="7"/>
        <v>1843.29</v>
      </c>
      <c r="M102" s="2"/>
      <c r="N102" s="23">
        <f t="shared" si="8"/>
        <v>0</v>
      </c>
      <c r="O102" s="11"/>
      <c r="P102" s="2">
        <v>1129.54</v>
      </c>
      <c r="Q102" s="2"/>
      <c r="R102" s="23">
        <f t="shared" si="9"/>
        <v>4.2023134488167793E-4</v>
      </c>
      <c r="S102" s="2"/>
      <c r="T102" s="2"/>
      <c r="U102" s="2"/>
      <c r="V102" s="23">
        <f t="shared" si="10"/>
        <v>0</v>
      </c>
      <c r="W102" s="2"/>
      <c r="X102" s="2">
        <f t="shared" si="11"/>
        <v>1129.54</v>
      </c>
      <c r="Y102" s="2"/>
      <c r="Z102" s="23">
        <f t="shared" si="12"/>
        <v>0</v>
      </c>
    </row>
    <row r="103" spans="1:26" s="24" customFormat="1" hidden="1" outlineLevel="1" x14ac:dyDescent="0.25">
      <c r="A103" s="51"/>
      <c r="B103" s="11" t="str">
        <f>CONCATENATE("          ", "5042", " - ", "PURCHASES @ COST-EVERYDAY GIFT")</f>
        <v xml:space="preserve">          5042 - PURCHASES @ COST-EVERYDAY GIFT</v>
      </c>
      <c r="C103" s="11"/>
      <c r="D103" s="2">
        <v>732.99</v>
      </c>
      <c r="E103" s="2"/>
      <c r="F103" s="23">
        <f t="shared" si="5"/>
        <v>3.3152083640275079E-4</v>
      </c>
      <c r="G103" s="2"/>
      <c r="H103" s="2"/>
      <c r="I103" s="2"/>
      <c r="J103" s="23">
        <f t="shared" si="6"/>
        <v>0</v>
      </c>
      <c r="K103" s="2"/>
      <c r="L103" s="2">
        <f t="shared" si="7"/>
        <v>732.99</v>
      </c>
      <c r="M103" s="2"/>
      <c r="N103" s="23">
        <f t="shared" si="8"/>
        <v>0</v>
      </c>
      <c r="O103" s="11"/>
      <c r="P103" s="2">
        <v>969.15</v>
      </c>
      <c r="Q103" s="2"/>
      <c r="R103" s="23">
        <f t="shared" si="9"/>
        <v>3.6056023504442354E-4</v>
      </c>
      <c r="S103" s="2"/>
      <c r="T103" s="2"/>
      <c r="U103" s="2"/>
      <c r="V103" s="23">
        <f t="shared" si="10"/>
        <v>0</v>
      </c>
      <c r="W103" s="2"/>
      <c r="X103" s="2">
        <f t="shared" si="11"/>
        <v>969.15</v>
      </c>
      <c r="Y103" s="2"/>
      <c r="Z103" s="23">
        <f t="shared" si="12"/>
        <v>0</v>
      </c>
    </row>
    <row r="104" spans="1:26" s="24" customFormat="1" hidden="1" outlineLevel="1" x14ac:dyDescent="0.25">
      <c r="A104" s="51"/>
      <c r="B104" s="11" t="str">
        <f>CONCATENATE("          ", "5043", " - ", "PURCHASES @ COST-CARDS")</f>
        <v xml:space="preserve">          5043 - PURCHASES @ COST-CARDS</v>
      </c>
      <c r="C104" s="11"/>
      <c r="D104" s="2">
        <v>1406.55</v>
      </c>
      <c r="E104" s="2"/>
      <c r="F104" s="23">
        <f t="shared" si="5"/>
        <v>6.3616233842520237E-4</v>
      </c>
      <c r="G104" s="2"/>
      <c r="H104" s="2"/>
      <c r="I104" s="2"/>
      <c r="J104" s="23">
        <f t="shared" si="6"/>
        <v>0</v>
      </c>
      <c r="K104" s="2"/>
      <c r="L104" s="2">
        <f t="shared" si="7"/>
        <v>1406.55</v>
      </c>
      <c r="M104" s="2"/>
      <c r="N104" s="23">
        <f t="shared" si="8"/>
        <v>0</v>
      </c>
      <c r="O104" s="11"/>
      <c r="P104" s="2">
        <v>1715.25</v>
      </c>
      <c r="Q104" s="2"/>
      <c r="R104" s="23">
        <f t="shared" si="9"/>
        <v>6.3813748455857967E-4</v>
      </c>
      <c r="S104" s="2"/>
      <c r="T104" s="2"/>
      <c r="U104" s="2"/>
      <c r="V104" s="23">
        <f t="shared" si="10"/>
        <v>0</v>
      </c>
      <c r="W104" s="2"/>
      <c r="X104" s="2">
        <f t="shared" si="11"/>
        <v>1715.25</v>
      </c>
      <c r="Y104" s="2"/>
      <c r="Z104" s="23">
        <f t="shared" si="12"/>
        <v>0</v>
      </c>
    </row>
    <row r="105" spans="1:26" s="24" customFormat="1" hidden="1" outlineLevel="1" x14ac:dyDescent="0.25">
      <c r="A105" s="51"/>
      <c r="B105" s="11" t="str">
        <f>CONCATENATE("          ", "5045", " - ", "PURCHASES @ COST-SPECIAL ORDER")</f>
        <v xml:space="preserve">          5045 - PURCHASES @ COST-SPECIAL ORDER</v>
      </c>
      <c r="C105" s="11"/>
      <c r="D105" s="2">
        <v>5633.96</v>
      </c>
      <c r="E105" s="2"/>
      <c r="F105" s="23">
        <f t="shared" si="5"/>
        <v>2.5481590901098813E-3</v>
      </c>
      <c r="G105" s="2"/>
      <c r="H105" s="2"/>
      <c r="I105" s="2"/>
      <c r="J105" s="23">
        <f t="shared" si="6"/>
        <v>0</v>
      </c>
      <c r="K105" s="2"/>
      <c r="L105" s="2">
        <f t="shared" si="7"/>
        <v>5633.96</v>
      </c>
      <c r="M105" s="2"/>
      <c r="N105" s="23">
        <f t="shared" si="8"/>
        <v>0</v>
      </c>
      <c r="O105" s="11"/>
      <c r="P105" s="2">
        <v>8390.17</v>
      </c>
      <c r="Q105" s="2"/>
      <c r="R105" s="23">
        <f t="shared" si="9"/>
        <v>3.1214586671440654E-3</v>
      </c>
      <c r="S105" s="2"/>
      <c r="T105" s="2"/>
      <c r="U105" s="2"/>
      <c r="V105" s="23">
        <f t="shared" si="10"/>
        <v>0</v>
      </c>
      <c r="W105" s="2"/>
      <c r="X105" s="2">
        <f t="shared" si="11"/>
        <v>8390.17</v>
      </c>
      <c r="Y105" s="2"/>
      <c r="Z105" s="23">
        <f t="shared" si="12"/>
        <v>0</v>
      </c>
    </row>
    <row r="106" spans="1:26" s="24" customFormat="1" hidden="1" outlineLevel="1" x14ac:dyDescent="0.25">
      <c r="A106" s="51"/>
      <c r="B106" s="11" t="str">
        <f>CONCATENATE("          ", "5053", " - ", "PURCHASES @ COST-FOOD")</f>
        <v xml:space="preserve">          5053 - PURCHASES @ COST-FOOD</v>
      </c>
      <c r="C106" s="11"/>
      <c r="D106" s="2">
        <v>78417.86</v>
      </c>
      <c r="E106" s="2"/>
      <c r="F106" s="23">
        <f t="shared" si="5"/>
        <v>3.5467270407664245E-2</v>
      </c>
      <c r="G106" s="2"/>
      <c r="H106" s="2"/>
      <c r="I106" s="2"/>
      <c r="J106" s="23">
        <f t="shared" si="6"/>
        <v>0</v>
      </c>
      <c r="K106" s="2"/>
      <c r="L106" s="2">
        <f t="shared" si="7"/>
        <v>78417.86</v>
      </c>
      <c r="M106" s="2"/>
      <c r="N106" s="23">
        <f t="shared" si="8"/>
        <v>0</v>
      </c>
      <c r="O106" s="11"/>
      <c r="P106" s="2">
        <v>86471.61</v>
      </c>
      <c r="Q106" s="2"/>
      <c r="R106" s="23">
        <f t="shared" si="9"/>
        <v>3.2170689806809809E-2</v>
      </c>
      <c r="S106" s="2"/>
      <c r="T106" s="2"/>
      <c r="U106" s="2"/>
      <c r="V106" s="23">
        <f t="shared" si="10"/>
        <v>0</v>
      </c>
      <c r="W106" s="2"/>
      <c r="X106" s="2">
        <f t="shared" si="11"/>
        <v>86471.61</v>
      </c>
      <c r="Y106" s="2"/>
      <c r="Z106" s="23">
        <f t="shared" si="12"/>
        <v>0</v>
      </c>
    </row>
    <row r="107" spans="1:26" s="24" customFormat="1" hidden="1" outlineLevel="1" x14ac:dyDescent="0.25">
      <c r="A107" s="51"/>
      <c r="B107" s="11" t="str">
        <f>CONCATENATE("          ", "5059", " - ", "PURCHASES @ COST-FOOD")</f>
        <v xml:space="preserve">          5059 - PURCHASES @ COST-FOOD</v>
      </c>
      <c r="C107" s="11"/>
      <c r="D107" s="2">
        <v>-30142.09</v>
      </c>
      <c r="E107" s="2"/>
      <c r="F107" s="23">
        <f t="shared" si="5"/>
        <v>-1.3632833855478234E-2</v>
      </c>
      <c r="G107" s="2"/>
      <c r="H107" s="2"/>
      <c r="I107" s="2"/>
      <c r="J107" s="23">
        <f t="shared" si="6"/>
        <v>0</v>
      </c>
      <c r="K107" s="2"/>
      <c r="L107" s="2">
        <f t="shared" si="7"/>
        <v>-30142.09</v>
      </c>
      <c r="M107" s="2"/>
      <c r="N107" s="23">
        <f t="shared" si="8"/>
        <v>0</v>
      </c>
      <c r="O107" s="11"/>
      <c r="P107" s="2">
        <v>-26733.09</v>
      </c>
      <c r="Q107" s="2"/>
      <c r="R107" s="23">
        <f t="shared" si="9"/>
        <v>-9.9457145063857281E-3</v>
      </c>
      <c r="S107" s="2"/>
      <c r="T107" s="2"/>
      <c r="U107" s="2"/>
      <c r="V107" s="23">
        <f t="shared" si="10"/>
        <v>0</v>
      </c>
      <c r="W107" s="2"/>
      <c r="X107" s="2">
        <f t="shared" si="11"/>
        <v>-26733.09</v>
      </c>
      <c r="Y107" s="2"/>
      <c r="Z107" s="23">
        <f t="shared" si="12"/>
        <v>0</v>
      </c>
    </row>
    <row r="108" spans="1:26" s="24" customFormat="1" hidden="1" outlineLevel="1" x14ac:dyDescent="0.25">
      <c r="A108" s="51"/>
      <c r="B108" s="11" t="str">
        <f>CONCATENATE("          ", "5081", " - ", "PURCHASES @ COST-ELECTRONICS")</f>
        <v xml:space="preserve">          5081 - PURCHASES @ COST-ELECTRONICS</v>
      </c>
      <c r="C108" s="11"/>
      <c r="D108" s="2">
        <v>745.55</v>
      </c>
      <c r="E108" s="2"/>
      <c r="F108" s="23">
        <f t="shared" si="5"/>
        <v>3.3720154378650571E-4</v>
      </c>
      <c r="G108" s="2"/>
      <c r="H108" s="2"/>
      <c r="I108" s="2"/>
      <c r="J108" s="23">
        <f t="shared" si="6"/>
        <v>0</v>
      </c>
      <c r="K108" s="2"/>
      <c r="L108" s="2">
        <f t="shared" si="7"/>
        <v>745.55</v>
      </c>
      <c r="M108" s="2"/>
      <c r="N108" s="23">
        <f t="shared" si="8"/>
        <v>0</v>
      </c>
      <c r="O108" s="11"/>
      <c r="P108" s="2">
        <v>7422.47</v>
      </c>
      <c r="Q108" s="2"/>
      <c r="R108" s="23">
        <f t="shared" si="9"/>
        <v>2.7614378866121676E-3</v>
      </c>
      <c r="S108" s="2"/>
      <c r="T108" s="2"/>
      <c r="U108" s="2"/>
      <c r="V108" s="23">
        <f t="shared" si="10"/>
        <v>0</v>
      </c>
      <c r="W108" s="2"/>
      <c r="X108" s="2">
        <f t="shared" si="11"/>
        <v>7422.47</v>
      </c>
      <c r="Y108" s="2"/>
      <c r="Z108" s="23">
        <f t="shared" si="12"/>
        <v>0</v>
      </c>
    </row>
    <row r="109" spans="1:26" s="24" customFormat="1" hidden="1" outlineLevel="1" x14ac:dyDescent="0.25">
      <c r="A109" s="51"/>
      <c r="B109" s="11" t="str">
        <f>CONCATENATE("          ", "5082", " - ", "PURCHASES @ COST-COMPUTER HARD")</f>
        <v xml:space="preserve">          5082 - PURCHASES @ COST-COMPUTER HARD</v>
      </c>
      <c r="C109" s="11"/>
      <c r="D109" s="2">
        <v>56751.23</v>
      </c>
      <c r="E109" s="2"/>
      <c r="F109" s="23">
        <f t="shared" si="5"/>
        <v>2.5667765230746507E-2</v>
      </c>
      <c r="G109" s="2"/>
      <c r="H109" s="2"/>
      <c r="I109" s="2"/>
      <c r="J109" s="23">
        <f t="shared" si="6"/>
        <v>0</v>
      </c>
      <c r="K109" s="2"/>
      <c r="L109" s="2">
        <f t="shared" si="7"/>
        <v>56751.23</v>
      </c>
      <c r="M109" s="2"/>
      <c r="N109" s="23">
        <f t="shared" si="8"/>
        <v>0</v>
      </c>
      <c r="O109" s="11"/>
      <c r="P109" s="2">
        <v>243223.8</v>
      </c>
      <c r="Q109" s="2"/>
      <c r="R109" s="23">
        <f t="shared" si="9"/>
        <v>9.0488397561159631E-2</v>
      </c>
      <c r="S109" s="2"/>
      <c r="T109" s="2"/>
      <c r="U109" s="2"/>
      <c r="V109" s="23">
        <f t="shared" si="10"/>
        <v>0</v>
      </c>
      <c r="W109" s="2"/>
      <c r="X109" s="2">
        <f t="shared" si="11"/>
        <v>243223.8</v>
      </c>
      <c r="Y109" s="2"/>
      <c r="Z109" s="23">
        <f t="shared" si="12"/>
        <v>0</v>
      </c>
    </row>
    <row r="110" spans="1:26" s="24" customFormat="1" hidden="1" outlineLevel="1" x14ac:dyDescent="0.25">
      <c r="A110" s="51"/>
      <c r="B110" s="11" t="str">
        <f>CONCATENATE("          ", "5083", " - ", "PURCHASES @ COST-COMPUTER EQUI")</f>
        <v xml:space="preserve">          5083 - PURCHASES @ COST-COMPUTER EQUI</v>
      </c>
      <c r="C110" s="11"/>
      <c r="D110" s="2">
        <v>7340.55</v>
      </c>
      <c r="E110" s="2"/>
      <c r="F110" s="23">
        <f t="shared" si="5"/>
        <v>3.3200252058775866E-3</v>
      </c>
      <c r="G110" s="2"/>
      <c r="H110" s="2"/>
      <c r="I110" s="2"/>
      <c r="J110" s="23">
        <f t="shared" si="6"/>
        <v>0</v>
      </c>
      <c r="K110" s="2"/>
      <c r="L110" s="2">
        <f t="shared" si="7"/>
        <v>7340.55</v>
      </c>
      <c r="M110" s="2"/>
      <c r="N110" s="23">
        <f t="shared" si="8"/>
        <v>0</v>
      </c>
      <c r="O110" s="11"/>
      <c r="P110" s="2">
        <v>37278.85</v>
      </c>
      <c r="Q110" s="2"/>
      <c r="R110" s="23">
        <f t="shared" si="9"/>
        <v>1.3869133692602597E-2</v>
      </c>
      <c r="S110" s="2"/>
      <c r="T110" s="2"/>
      <c r="U110" s="2"/>
      <c r="V110" s="23">
        <f t="shared" si="10"/>
        <v>0</v>
      </c>
      <c r="W110" s="2"/>
      <c r="X110" s="2">
        <f t="shared" si="11"/>
        <v>37278.85</v>
      </c>
      <c r="Y110" s="2"/>
      <c r="Z110" s="23">
        <f t="shared" si="12"/>
        <v>0</v>
      </c>
    </row>
    <row r="111" spans="1:26" s="24" customFormat="1" hidden="1" outlineLevel="1" x14ac:dyDescent="0.25">
      <c r="A111" s="51"/>
      <c r="B111" s="11" t="str">
        <f>CONCATENATE("          ", "5085", " - ", "PURCHASES @ COST-SOFTWARE")</f>
        <v xml:space="preserve">          5085 - PURCHASES @ COST-SOFTWARE</v>
      </c>
      <c r="C111" s="11"/>
      <c r="D111" s="2">
        <v>2364.2199999999998</v>
      </c>
      <c r="E111" s="2"/>
      <c r="F111" s="23">
        <f t="shared" si="5"/>
        <v>1.0693027078679264E-3</v>
      </c>
      <c r="G111" s="2"/>
      <c r="H111" s="2"/>
      <c r="I111" s="2"/>
      <c r="J111" s="23">
        <f t="shared" si="6"/>
        <v>0</v>
      </c>
      <c r="K111" s="2"/>
      <c r="L111" s="2">
        <f t="shared" si="7"/>
        <v>2364.2199999999998</v>
      </c>
      <c r="M111" s="2"/>
      <c r="N111" s="23">
        <f t="shared" si="8"/>
        <v>0</v>
      </c>
      <c r="O111" s="11"/>
      <c r="P111" s="2">
        <v>6228.56</v>
      </c>
      <c r="Q111" s="2"/>
      <c r="R111" s="23">
        <f t="shared" si="9"/>
        <v>2.3172584817502911E-3</v>
      </c>
      <c r="S111" s="2"/>
      <c r="T111" s="2"/>
      <c r="U111" s="2"/>
      <c r="V111" s="23">
        <f t="shared" si="10"/>
        <v>0</v>
      </c>
      <c r="W111" s="2"/>
      <c r="X111" s="2">
        <f t="shared" si="11"/>
        <v>6228.56</v>
      </c>
      <c r="Y111" s="2"/>
      <c r="Z111" s="23">
        <f t="shared" si="12"/>
        <v>0</v>
      </c>
    </row>
    <row r="112" spans="1:26" s="24" customFormat="1" hidden="1" outlineLevel="1" x14ac:dyDescent="0.25">
      <c r="A112" s="51"/>
      <c r="B112" s="11" t="str">
        <f>CONCATENATE("          ", "5086", " - ", "PURCHASES @ COST-COMPUTER SUPP")</f>
        <v xml:space="preserve">          5086 - PURCHASES @ COST-COMPUTER SUPP</v>
      </c>
      <c r="C112" s="11"/>
      <c r="D112" s="2">
        <v>21649.96</v>
      </c>
      <c r="E112" s="2"/>
      <c r="F112" s="23">
        <f t="shared" si="5"/>
        <v>9.7919655756369094E-3</v>
      </c>
      <c r="G112" s="2"/>
      <c r="H112" s="2"/>
      <c r="I112" s="2"/>
      <c r="J112" s="23">
        <f t="shared" si="6"/>
        <v>0</v>
      </c>
      <c r="K112" s="2"/>
      <c r="L112" s="2">
        <f t="shared" si="7"/>
        <v>21649.96</v>
      </c>
      <c r="M112" s="2"/>
      <c r="N112" s="23">
        <f t="shared" si="8"/>
        <v>0</v>
      </c>
      <c r="O112" s="11"/>
      <c r="P112" s="2">
        <v>21737.21</v>
      </c>
      <c r="Q112" s="2"/>
      <c r="R112" s="23">
        <f t="shared" si="9"/>
        <v>8.0870593270494697E-3</v>
      </c>
      <c r="S112" s="2"/>
      <c r="T112" s="2"/>
      <c r="U112" s="2"/>
      <c r="V112" s="23">
        <f t="shared" si="10"/>
        <v>0</v>
      </c>
      <c r="W112" s="2"/>
      <c r="X112" s="2">
        <f t="shared" si="11"/>
        <v>21737.21</v>
      </c>
      <c r="Y112" s="2"/>
      <c r="Z112" s="23">
        <f t="shared" si="12"/>
        <v>0</v>
      </c>
    </row>
    <row r="113" spans="1:26" s="24" customFormat="1" hidden="1" outlineLevel="1" x14ac:dyDescent="0.25">
      <c r="A113" s="51"/>
      <c r="B113" s="11" t="str">
        <f>CONCATENATE("          ", "5200", " - ", "PURCHASES OFFSET")</f>
        <v xml:space="preserve">          5200 - PURCHASES OFFSET</v>
      </c>
      <c r="C113" s="11"/>
      <c r="D113" s="2">
        <v>-586112.93000000005</v>
      </c>
      <c r="E113" s="2"/>
      <c r="F113" s="23">
        <f t="shared" si="5"/>
        <v>-0.26509044977430379</v>
      </c>
      <c r="G113" s="2"/>
      <c r="H113" s="2"/>
      <c r="I113" s="2"/>
      <c r="J113" s="23">
        <f t="shared" si="6"/>
        <v>0</v>
      </c>
      <c r="K113" s="2"/>
      <c r="L113" s="2">
        <f t="shared" si="7"/>
        <v>-586112.93000000005</v>
      </c>
      <c r="M113" s="2"/>
      <c r="N113" s="23">
        <f t="shared" si="8"/>
        <v>0</v>
      </c>
      <c r="O113" s="11"/>
      <c r="P113" s="2">
        <v>-1028934.9800000001</v>
      </c>
      <c r="Q113" s="2"/>
      <c r="R113" s="23">
        <f t="shared" si="9"/>
        <v>-0.38280249521150417</v>
      </c>
      <c r="S113" s="2"/>
      <c r="T113" s="2"/>
      <c r="U113" s="2"/>
      <c r="V113" s="23">
        <f t="shared" si="10"/>
        <v>0</v>
      </c>
      <c r="W113" s="2"/>
      <c r="X113" s="2">
        <f t="shared" si="11"/>
        <v>-1028934.9800000001</v>
      </c>
      <c r="Y113" s="2"/>
      <c r="Z113" s="23">
        <f t="shared" si="12"/>
        <v>0</v>
      </c>
    </row>
    <row r="114" spans="1:26" s="24" customFormat="1" hidden="1" outlineLevel="1" x14ac:dyDescent="0.25">
      <c r="A114" s="51"/>
      <c r="B114" s="11" t="str">
        <f>CONCATENATE("          ", "5300", " - ", "COG$ OFFSET")</f>
        <v xml:space="preserve">          5300 - COG$ OFFSET</v>
      </c>
      <c r="C114" s="11"/>
      <c r="D114" s="2">
        <v>1248893</v>
      </c>
      <c r="E114" s="2"/>
      <c r="F114" s="23">
        <f t="shared" si="5"/>
        <v>0.56485634447610555</v>
      </c>
      <c r="G114" s="2"/>
      <c r="H114" s="2"/>
      <c r="I114" s="2"/>
      <c r="J114" s="23">
        <f t="shared" si="6"/>
        <v>0</v>
      </c>
      <c r="K114" s="2"/>
      <c r="L114" s="2">
        <f t="shared" si="7"/>
        <v>1248893</v>
      </c>
      <c r="M114" s="2"/>
      <c r="N114" s="23">
        <f t="shared" si="8"/>
        <v>0</v>
      </c>
      <c r="O114" s="11"/>
      <c r="P114" s="2">
        <v>1568477</v>
      </c>
      <c r="Q114" s="2"/>
      <c r="R114" s="23">
        <f t="shared" si="9"/>
        <v>0.58353241065033512</v>
      </c>
      <c r="S114" s="2"/>
      <c r="T114" s="2"/>
      <c r="U114" s="2"/>
      <c r="V114" s="23">
        <f t="shared" si="10"/>
        <v>0</v>
      </c>
      <c r="W114" s="2"/>
      <c r="X114" s="2">
        <f t="shared" si="11"/>
        <v>1568477</v>
      </c>
      <c r="Y114" s="2"/>
      <c r="Z114" s="23">
        <f t="shared" si="12"/>
        <v>0</v>
      </c>
    </row>
    <row r="115" spans="1:26" s="24" customFormat="1" hidden="1" outlineLevel="1" x14ac:dyDescent="0.25">
      <c r="A115" s="51"/>
      <c r="B115" s="11" t="str">
        <f>CONCATENATE("          ", "5501", " - ", "FREIGHT-IN-NEW TEXT")</f>
        <v xml:space="preserve">          5501 - FREIGHT-IN-NEW TEXT</v>
      </c>
      <c r="C115" s="11"/>
      <c r="D115" s="2">
        <v>4680.5600000000004</v>
      </c>
      <c r="E115" s="2"/>
      <c r="F115" s="23">
        <f t="shared" si="5"/>
        <v>2.116949980263386E-3</v>
      </c>
      <c r="G115" s="2"/>
      <c r="H115" s="2"/>
      <c r="I115" s="2"/>
      <c r="J115" s="23">
        <f t="shared" si="6"/>
        <v>0</v>
      </c>
      <c r="K115" s="2"/>
      <c r="L115" s="2">
        <f t="shared" si="7"/>
        <v>4680.5600000000004</v>
      </c>
      <c r="M115" s="2"/>
      <c r="N115" s="23">
        <f t="shared" si="8"/>
        <v>0</v>
      </c>
      <c r="O115" s="11"/>
      <c r="P115" s="2">
        <v>5483.28</v>
      </c>
      <c r="Q115" s="2"/>
      <c r="R115" s="23">
        <f t="shared" si="9"/>
        <v>2.0399863030639083E-3</v>
      </c>
      <c r="S115" s="2"/>
      <c r="T115" s="2"/>
      <c r="U115" s="2"/>
      <c r="V115" s="23">
        <f t="shared" si="10"/>
        <v>0</v>
      </c>
      <c r="W115" s="2"/>
      <c r="X115" s="2">
        <f t="shared" si="11"/>
        <v>5483.28</v>
      </c>
      <c r="Y115" s="2"/>
      <c r="Z115" s="23">
        <f t="shared" si="12"/>
        <v>0</v>
      </c>
    </row>
    <row r="116" spans="1:26" s="24" customFormat="1" hidden="1" outlineLevel="1" x14ac:dyDescent="0.25">
      <c r="A116" s="51"/>
      <c r="B116" s="11" t="str">
        <f>CONCATENATE("          ", "5502", " - ", "FREIGHT-IN-USED TEXT")</f>
        <v xml:space="preserve">          5502 - FREIGHT-IN-USED TEXT</v>
      </c>
      <c r="C116" s="11"/>
      <c r="D116" s="2">
        <v>1186.6600000000001</v>
      </c>
      <c r="E116" s="2"/>
      <c r="F116" s="23">
        <f t="shared" si="5"/>
        <v>5.3670925350371532E-4</v>
      </c>
      <c r="G116" s="2"/>
      <c r="H116" s="2"/>
      <c r="I116" s="2"/>
      <c r="J116" s="23">
        <f t="shared" si="6"/>
        <v>0</v>
      </c>
      <c r="K116" s="2"/>
      <c r="L116" s="2">
        <f t="shared" si="7"/>
        <v>1186.6600000000001</v>
      </c>
      <c r="M116" s="2"/>
      <c r="N116" s="23">
        <f t="shared" si="8"/>
        <v>0</v>
      </c>
      <c r="O116" s="11"/>
      <c r="P116" s="2">
        <v>1234.55</v>
      </c>
      <c r="Q116" s="2"/>
      <c r="R116" s="23">
        <f t="shared" si="9"/>
        <v>4.5929901271639378E-4</v>
      </c>
      <c r="S116" s="2"/>
      <c r="T116" s="2"/>
      <c r="U116" s="2"/>
      <c r="V116" s="23">
        <f t="shared" si="10"/>
        <v>0</v>
      </c>
      <c r="W116" s="2"/>
      <c r="X116" s="2">
        <f t="shared" si="11"/>
        <v>1234.55</v>
      </c>
      <c r="Y116" s="2"/>
      <c r="Z116" s="23">
        <f t="shared" si="12"/>
        <v>0</v>
      </c>
    </row>
    <row r="117" spans="1:26" s="24" customFormat="1" hidden="1" outlineLevel="1" x14ac:dyDescent="0.25">
      <c r="A117" s="51"/>
      <c r="B117" s="11" t="str">
        <f>CONCATENATE("          ", "5528", " - ", "FREIGHT-IN-ART/TECH")</f>
        <v xml:space="preserve">          5528 - FREIGHT-IN-ART/TECH</v>
      </c>
      <c r="C117" s="11"/>
      <c r="D117" s="2"/>
      <c r="E117" s="2"/>
      <c r="F117" s="23">
        <f t="shared" si="5"/>
        <v>0</v>
      </c>
      <c r="G117" s="2"/>
      <c r="H117" s="2"/>
      <c r="I117" s="2"/>
      <c r="J117" s="23">
        <f t="shared" si="6"/>
        <v>0</v>
      </c>
      <c r="K117" s="2"/>
      <c r="L117" s="2">
        <f t="shared" si="7"/>
        <v>0</v>
      </c>
      <c r="M117" s="2"/>
      <c r="N117" s="23">
        <f t="shared" si="8"/>
        <v>0</v>
      </c>
      <c r="O117" s="11"/>
      <c r="P117" s="2">
        <v>38.049999999999997</v>
      </c>
      <c r="Q117" s="2"/>
      <c r="R117" s="23">
        <f t="shared" si="9"/>
        <v>1.415603048386763E-5</v>
      </c>
      <c r="S117" s="2"/>
      <c r="T117" s="2"/>
      <c r="U117" s="2"/>
      <c r="V117" s="23">
        <f t="shared" si="10"/>
        <v>0</v>
      </c>
      <c r="W117" s="2"/>
      <c r="X117" s="2">
        <f t="shared" si="11"/>
        <v>38.049999999999997</v>
      </c>
      <c r="Y117" s="2"/>
      <c r="Z117" s="23">
        <f t="shared" si="12"/>
        <v>0</v>
      </c>
    </row>
    <row r="118" spans="1:26" s="24" customFormat="1" hidden="1" outlineLevel="1" x14ac:dyDescent="0.25">
      <c r="A118" s="51"/>
      <c r="B118" s="11" t="str">
        <f>CONCATENATE("          ", "5540", " - ", "FREIGHT-IN-LOGO CLOTHING")</f>
        <v xml:space="preserve">          5540 - FREIGHT-IN-LOGO CLOTHING</v>
      </c>
      <c r="C118" s="11"/>
      <c r="D118" s="2">
        <v>1021.7</v>
      </c>
      <c r="E118" s="2"/>
      <c r="F118" s="23">
        <f t="shared" si="5"/>
        <v>4.6210021767376157E-4</v>
      </c>
      <c r="G118" s="2"/>
      <c r="H118" s="2"/>
      <c r="I118" s="2"/>
      <c r="J118" s="23">
        <f t="shared" si="6"/>
        <v>0</v>
      </c>
      <c r="K118" s="2"/>
      <c r="L118" s="2">
        <f t="shared" si="7"/>
        <v>1021.7</v>
      </c>
      <c r="M118" s="2"/>
      <c r="N118" s="23">
        <f t="shared" si="8"/>
        <v>0</v>
      </c>
      <c r="O118" s="11"/>
      <c r="P118" s="2">
        <v>1931.53</v>
      </c>
      <c r="Q118" s="2"/>
      <c r="R118" s="23">
        <f t="shared" si="9"/>
        <v>7.1860177557174368E-4</v>
      </c>
      <c r="S118" s="2"/>
      <c r="T118" s="2"/>
      <c r="U118" s="2"/>
      <c r="V118" s="23">
        <f t="shared" si="10"/>
        <v>0</v>
      </c>
      <c r="W118" s="2"/>
      <c r="X118" s="2">
        <f t="shared" si="11"/>
        <v>1931.53</v>
      </c>
      <c r="Y118" s="2"/>
      <c r="Z118" s="23">
        <f t="shared" si="12"/>
        <v>0</v>
      </c>
    </row>
    <row r="119" spans="1:26" s="24" customFormat="1" hidden="1" outlineLevel="1" x14ac:dyDescent="0.25">
      <c r="A119" s="51"/>
      <c r="B119" s="11" t="str">
        <f>CONCATENATE("          ", "5541", " - ", "FREIGHT-IN-LOGO GIFTS")</f>
        <v xml:space="preserve">          5541 - FREIGHT-IN-LOGO GIFTS</v>
      </c>
      <c r="C119" s="11"/>
      <c r="D119" s="2">
        <v>123.12</v>
      </c>
      <c r="E119" s="2"/>
      <c r="F119" s="23">
        <f t="shared" si="5"/>
        <v>5.5685405500629853E-5</v>
      </c>
      <c r="G119" s="2"/>
      <c r="H119" s="2"/>
      <c r="I119" s="2"/>
      <c r="J119" s="23">
        <f t="shared" si="6"/>
        <v>0</v>
      </c>
      <c r="K119" s="2"/>
      <c r="L119" s="2">
        <f t="shared" si="7"/>
        <v>123.12</v>
      </c>
      <c r="M119" s="2"/>
      <c r="N119" s="23">
        <f t="shared" si="8"/>
        <v>0</v>
      </c>
      <c r="O119" s="11"/>
      <c r="P119" s="2">
        <v>206.7</v>
      </c>
      <c r="Q119" s="2"/>
      <c r="R119" s="23">
        <f t="shared" si="9"/>
        <v>7.6900170854545056E-5</v>
      </c>
      <c r="S119" s="2"/>
      <c r="T119" s="2"/>
      <c r="U119" s="2"/>
      <c r="V119" s="23">
        <f t="shared" si="10"/>
        <v>0</v>
      </c>
      <c r="W119" s="2"/>
      <c r="X119" s="2">
        <f t="shared" si="11"/>
        <v>206.7</v>
      </c>
      <c r="Y119" s="2"/>
      <c r="Z119" s="23">
        <f t="shared" si="12"/>
        <v>0</v>
      </c>
    </row>
    <row r="120" spans="1:26" s="24" customFormat="1" hidden="1" outlineLevel="1" x14ac:dyDescent="0.25">
      <c r="A120" s="51"/>
      <c r="B120" s="11" t="str">
        <f>CONCATENATE("          ", "5542", " - ", "FREIGHT-IN-EVERYDAY GIFTS")</f>
        <v xml:space="preserve">          5542 - FREIGHT-IN-EVERYDAY GIFTS</v>
      </c>
      <c r="C120" s="11"/>
      <c r="D120" s="2"/>
      <c r="E120" s="2"/>
      <c r="F120" s="23">
        <f t="shared" si="5"/>
        <v>0</v>
      </c>
      <c r="G120" s="2"/>
      <c r="H120" s="2"/>
      <c r="I120" s="2"/>
      <c r="J120" s="23">
        <f t="shared" si="6"/>
        <v>0</v>
      </c>
      <c r="K120" s="2"/>
      <c r="L120" s="2">
        <f t="shared" si="7"/>
        <v>0</v>
      </c>
      <c r="M120" s="2"/>
      <c r="N120" s="23">
        <f t="shared" si="8"/>
        <v>0</v>
      </c>
      <c r="O120" s="11"/>
      <c r="P120" s="2">
        <v>5.94</v>
      </c>
      <c r="Q120" s="2"/>
      <c r="R120" s="23">
        <f t="shared" si="9"/>
        <v>2.2099033133817013E-6</v>
      </c>
      <c r="S120" s="2"/>
      <c r="T120" s="2"/>
      <c r="U120" s="2"/>
      <c r="V120" s="23">
        <f t="shared" si="10"/>
        <v>0</v>
      </c>
      <c r="W120" s="2"/>
      <c r="X120" s="2">
        <f t="shared" si="11"/>
        <v>5.94</v>
      </c>
      <c r="Y120" s="2"/>
      <c r="Z120" s="23">
        <f t="shared" si="12"/>
        <v>0</v>
      </c>
    </row>
    <row r="121" spans="1:26" s="24" customFormat="1" hidden="1" outlineLevel="1" x14ac:dyDescent="0.25">
      <c r="A121" s="51"/>
      <c r="B121" s="11" t="str">
        <f>CONCATENATE("          ", "5545", " - ", "FREIGHT-IN-SPECIAL ORDERS")</f>
        <v xml:space="preserve">          5545 - FREIGHT-IN-SPECIAL ORDERS</v>
      </c>
      <c r="C121" s="11"/>
      <c r="D121" s="2">
        <v>145.6</v>
      </c>
      <c r="E121" s="2"/>
      <c r="F121" s="23">
        <f t="shared" si="5"/>
        <v>6.5852786232063889E-5</v>
      </c>
      <c r="G121" s="2"/>
      <c r="H121" s="2"/>
      <c r="I121" s="2"/>
      <c r="J121" s="23">
        <f t="shared" si="6"/>
        <v>0</v>
      </c>
      <c r="K121" s="2"/>
      <c r="L121" s="2">
        <f t="shared" si="7"/>
        <v>145.6</v>
      </c>
      <c r="M121" s="2"/>
      <c r="N121" s="23">
        <f t="shared" si="8"/>
        <v>0</v>
      </c>
      <c r="O121" s="11"/>
      <c r="P121" s="2">
        <v>446</v>
      </c>
      <c r="Q121" s="2"/>
      <c r="R121" s="23">
        <f t="shared" si="9"/>
        <v>1.6592876730105031E-4</v>
      </c>
      <c r="S121" s="2"/>
      <c r="T121" s="2"/>
      <c r="U121" s="2"/>
      <c r="V121" s="23">
        <f t="shared" si="10"/>
        <v>0</v>
      </c>
      <c r="W121" s="2"/>
      <c r="X121" s="2">
        <f t="shared" si="11"/>
        <v>446</v>
      </c>
      <c r="Y121" s="2"/>
      <c r="Z121" s="23">
        <f t="shared" si="12"/>
        <v>0</v>
      </c>
    </row>
    <row r="122" spans="1:26" s="24" customFormat="1" hidden="1" outlineLevel="1" x14ac:dyDescent="0.25">
      <c r="A122" s="51"/>
      <c r="B122" s="11" t="str">
        <f>CONCATENATE("          ", "5583", " - ", "FREIGHT-IN-COMPUTER EQUIPMENT")</f>
        <v xml:space="preserve">          5583 - FREIGHT-IN-COMPUTER EQUIPMENT</v>
      </c>
      <c r="C122" s="11"/>
      <c r="D122" s="2"/>
      <c r="E122" s="2"/>
      <c r="F122" s="23">
        <f t="shared" si="5"/>
        <v>0</v>
      </c>
      <c r="G122" s="2"/>
      <c r="H122" s="2"/>
      <c r="I122" s="2"/>
      <c r="J122" s="23">
        <f t="shared" si="6"/>
        <v>0</v>
      </c>
      <c r="K122" s="2"/>
      <c r="L122" s="2">
        <f t="shared" si="7"/>
        <v>0</v>
      </c>
      <c r="M122" s="2"/>
      <c r="N122" s="23">
        <f t="shared" si="8"/>
        <v>0</v>
      </c>
      <c r="O122" s="11"/>
      <c r="P122" s="2">
        <v>17.39</v>
      </c>
      <c r="Q122" s="2"/>
      <c r="R122" s="23">
        <f t="shared" si="9"/>
        <v>6.4697337743615806E-6</v>
      </c>
      <c r="S122" s="2"/>
      <c r="T122" s="2"/>
      <c r="U122" s="2"/>
      <c r="V122" s="23">
        <f t="shared" si="10"/>
        <v>0</v>
      </c>
      <c r="W122" s="2"/>
      <c r="X122" s="2">
        <f t="shared" si="11"/>
        <v>17.39</v>
      </c>
      <c r="Y122" s="2"/>
      <c r="Z122" s="23">
        <f t="shared" si="12"/>
        <v>0</v>
      </c>
    </row>
    <row r="123" spans="1:26" s="24" customFormat="1" hidden="1" outlineLevel="1" x14ac:dyDescent="0.25">
      <c r="A123" s="51"/>
      <c r="B123" s="11" t="str">
        <f>CONCATENATE("          ", "5586", " - ", "FREIGHT-IN-COMPUTER SUPPLIES")</f>
        <v xml:space="preserve">          5586 - FREIGHT-IN-COMPUTER SUPPLIES</v>
      </c>
      <c r="C123" s="11"/>
      <c r="D123" s="2">
        <v>24.12</v>
      </c>
      <c r="E123" s="2"/>
      <c r="F123" s="23">
        <f t="shared" si="5"/>
        <v>1.0909129147784211E-5</v>
      </c>
      <c r="G123" s="2"/>
      <c r="H123" s="2"/>
      <c r="I123" s="2"/>
      <c r="J123" s="23">
        <f t="shared" si="6"/>
        <v>0</v>
      </c>
      <c r="K123" s="2"/>
      <c r="L123" s="2">
        <f t="shared" si="7"/>
        <v>24.12</v>
      </c>
      <c r="M123" s="2"/>
      <c r="N123" s="23">
        <f t="shared" si="8"/>
        <v>0</v>
      </c>
      <c r="O123" s="11"/>
      <c r="P123" s="2">
        <v>24.12</v>
      </c>
      <c r="Q123" s="2"/>
      <c r="R123" s="23">
        <f t="shared" si="9"/>
        <v>8.9735467876711509E-6</v>
      </c>
      <c r="S123" s="2"/>
      <c r="T123" s="2"/>
      <c r="U123" s="2"/>
      <c r="V123" s="23">
        <f t="shared" si="10"/>
        <v>0</v>
      </c>
      <c r="W123" s="2"/>
      <c r="X123" s="2">
        <f t="shared" si="11"/>
        <v>24.12</v>
      </c>
      <c r="Y123" s="2"/>
      <c r="Z123" s="23">
        <f t="shared" si="12"/>
        <v>0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2" customFormat="1" x14ac:dyDescent="0.25">
      <c r="A125" s="10"/>
      <c r="B125" s="26" t="s">
        <v>6</v>
      </c>
      <c r="C125" s="26"/>
      <c r="D125" s="21">
        <f>D12-D92</f>
        <v>602829.42000000016</v>
      </c>
      <c r="E125" s="13"/>
      <c r="F125" s="20">
        <f>IF(D$12=0,0,D125/D$12)</f>
        <v>0.27265107781359255</v>
      </c>
      <c r="G125" s="13"/>
      <c r="H125" s="21">
        <f>H12-H92</f>
        <v>1067699</v>
      </c>
      <c r="I125" s="13"/>
      <c r="J125" s="20">
        <f>IF(H$12=0,0,H125/H$12)</f>
        <v>0.38495490827882772</v>
      </c>
      <c r="K125" s="16"/>
      <c r="L125" s="21">
        <f>+D125-H125</f>
        <v>-464869.57999999984</v>
      </c>
      <c r="M125" s="16"/>
      <c r="N125" s="20">
        <f>IF(H125=0,0,L125/H125)</f>
        <v>-0.43539385163796146</v>
      </c>
      <c r="O125" s="25"/>
      <c r="P125" s="21">
        <f>P12-P92</f>
        <v>742923.54999999981</v>
      </c>
      <c r="Q125" s="13"/>
      <c r="R125" s="20">
        <f>IF(P$12=0,0,P125/P$12)</f>
        <v>0.27639549069600938</v>
      </c>
      <c r="S125" s="13"/>
      <c r="T125" s="21">
        <f>T12-T92</f>
        <v>1341597</v>
      </c>
      <c r="U125" s="13"/>
      <c r="V125" s="20">
        <f>IF(T$12=0,0,T125/T$12)</f>
        <v>0.3873053292708909</v>
      </c>
      <c r="W125" s="16"/>
      <c r="X125" s="21">
        <f>+P125-T125</f>
        <v>-598673.45000000019</v>
      </c>
      <c r="Y125" s="16"/>
      <c r="Z125" s="20">
        <f>IF(T125=0,0,X125/T125)</f>
        <v>-0.44623940721393995</v>
      </c>
    </row>
    <row r="126" spans="1:26" x14ac:dyDescent="0.25">
      <c r="A126" s="9"/>
      <c r="B126" s="10"/>
      <c r="C126" s="9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6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2" customFormat="1" x14ac:dyDescent="0.25">
      <c r="A127" s="10"/>
      <c r="B127" s="25" t="s">
        <v>9</v>
      </c>
      <c r="C127" s="10"/>
      <c r="D127" s="19">
        <f>SUM(OSRRefD22x_0)</f>
        <v>609031.24000000011</v>
      </c>
      <c r="E127" s="19"/>
      <c r="F127" s="30">
        <f t="shared" ref="F127:F138" si="13">IF(D$12=0,0,D127/D$12)</f>
        <v>0.27545607181571985</v>
      </c>
      <c r="G127" s="19"/>
      <c r="H127" s="19">
        <f>SUM(OSRRefH22x_0)</f>
        <v>1083479.0917993826</v>
      </c>
      <c r="I127" s="19"/>
      <c r="J127" s="30">
        <f t="shared" ref="J127:J138" si="14">IF(H$12=0,0,H127/H$12)</f>
        <v>0.39064436175894041</v>
      </c>
      <c r="K127" s="4"/>
      <c r="L127" s="19">
        <f t="shared" ref="L127:L138" si="15">+D127-H127</f>
        <v>-474447.85179938248</v>
      </c>
      <c r="M127" s="4"/>
      <c r="N127" s="30">
        <f t="shared" ref="N127:N138" si="16">IF(H127=0,0,L127/H127)</f>
        <v>-0.4378929463340594</v>
      </c>
      <c r="O127" s="10"/>
      <c r="P127" s="19">
        <f>SUM(OSRRefP22x_0)</f>
        <v>1308917.79</v>
      </c>
      <c r="Q127" s="19"/>
      <c r="R127" s="30">
        <f t="shared" ref="R127:R138" si="17">IF(P$12=0,0,P127/P$12)</f>
        <v>0.48696662644196193</v>
      </c>
      <c r="S127" s="19"/>
      <c r="T127" s="19">
        <f>SUM(OSRRefT22x_0)</f>
        <v>1977784.6375026528</v>
      </c>
      <c r="U127" s="19"/>
      <c r="V127" s="30">
        <f t="shared" ref="V127:V138" si="18">IF(T$12=0,0,T127/T$12)</f>
        <v>0.57096619197484377</v>
      </c>
      <c r="W127" s="4"/>
      <c r="X127" s="19">
        <f t="shared" ref="X127:X138" si="19">+P127-T127</f>
        <v>-668866.84750265279</v>
      </c>
      <c r="Y127" s="4"/>
      <c r="Z127" s="30">
        <f t="shared" ref="Z127:Z138" si="20">IF(T127=0,0,X127/T127)</f>
        <v>-0.33818992969185485</v>
      </c>
    </row>
    <row r="128" spans="1:26" s="29" customFormat="1" outlineLevel="1" collapsed="1" x14ac:dyDescent="0.25">
      <c r="A128" s="28"/>
      <c r="B128" s="14" t="str">
        <f>CONCATENATE("     ","*Benefits                                         ")</f>
        <v xml:space="preserve">     *Benefits                                         </v>
      </c>
      <c r="C128" s="14"/>
      <c r="D128" s="1">
        <f>SUM(OSRRefD22_0x_0)</f>
        <v>151965.57999999999</v>
      </c>
      <c r="E128" s="1"/>
      <c r="F128" s="5">
        <f t="shared" si="13"/>
        <v>6.8731846527277499E-2</v>
      </c>
      <c r="G128" s="1"/>
      <c r="H128" s="1">
        <f>SUM(OSRRefH22_0x_0)</f>
        <v>173366.57010389538</v>
      </c>
      <c r="I128" s="1"/>
      <c r="J128" s="5">
        <f t="shared" si="14"/>
        <v>6.2506672847834469E-2</v>
      </c>
      <c r="K128" s="1"/>
      <c r="L128" s="1">
        <f t="shared" si="15"/>
        <v>-21400.990103895398</v>
      </c>
      <c r="M128" s="1"/>
      <c r="N128" s="5">
        <f t="shared" si="16"/>
        <v>-0.12344358021889791</v>
      </c>
      <c r="O128" s="14"/>
      <c r="P128" s="1">
        <f>SUM(OSRRefP22_0x_0)</f>
        <v>306078.72000000003</v>
      </c>
      <c r="Q128" s="1"/>
      <c r="R128" s="5">
        <f t="shared" si="17"/>
        <v>0.11387279082215994</v>
      </c>
      <c r="S128" s="1"/>
      <c r="T128" s="1">
        <f>SUM(OSRRefT22_0x_0)</f>
        <v>367944.70659613964</v>
      </c>
      <c r="U128" s="1"/>
      <c r="V128" s="5">
        <f t="shared" si="18"/>
        <v>0.10622187269478033</v>
      </c>
      <c r="W128" s="1"/>
      <c r="X128" s="1">
        <f t="shared" si="19"/>
        <v>-61865.986596139614</v>
      </c>
      <c r="Y128" s="1"/>
      <c r="Z128" s="5">
        <f t="shared" si="20"/>
        <v>-0.16813935759115142</v>
      </c>
    </row>
    <row r="129" spans="1:26" s="24" customFormat="1" hidden="1" outlineLevel="2" x14ac:dyDescent="0.25">
      <c r="A129" s="27"/>
      <c r="B129" s="11" t="str">
        <f>CONCATENATE("          ", "6111", " - ", "F.I.C.A.")</f>
        <v xml:space="preserve">          6111 - F.I.C.A.</v>
      </c>
      <c r="C129" s="11"/>
      <c r="D129" s="6">
        <v>22595.21</v>
      </c>
      <c r="E129" s="2"/>
      <c r="F129" s="7">
        <f t="shared" si="13"/>
        <v>1.021948855768264E-2</v>
      </c>
      <c r="G129" s="2"/>
      <c r="H129" s="6">
        <v>27292.096151279999</v>
      </c>
      <c r="I129" s="2"/>
      <c r="J129" s="7">
        <f t="shared" si="14"/>
        <v>9.8400638856577932E-3</v>
      </c>
      <c r="K129" s="2"/>
      <c r="L129" s="6">
        <f t="shared" si="15"/>
        <v>-4696.8861512799995</v>
      </c>
      <c r="M129" s="2"/>
      <c r="N129" s="7">
        <f t="shared" si="16"/>
        <v>-0.17209693697564216</v>
      </c>
      <c r="O129" s="11"/>
      <c r="P129" s="6">
        <v>41464.870000000003</v>
      </c>
      <c r="Q129" s="2"/>
      <c r="R129" s="7">
        <f t="shared" si="17"/>
        <v>1.5426490505377359E-2</v>
      </c>
      <c r="S129" s="2"/>
      <c r="T129" s="6">
        <v>57182.217934004999</v>
      </c>
      <c r="U129" s="2"/>
      <c r="V129" s="7">
        <f t="shared" si="18"/>
        <v>1.6507921339545071E-2</v>
      </c>
      <c r="W129" s="2"/>
      <c r="X129" s="6">
        <f t="shared" si="19"/>
        <v>-15717.347934004996</v>
      </c>
      <c r="Y129" s="2"/>
      <c r="Z129" s="7">
        <f t="shared" si="20"/>
        <v>-0.27486425853828655</v>
      </c>
    </row>
    <row r="130" spans="1:26" s="24" customFormat="1" hidden="1" outlineLevel="2" x14ac:dyDescent="0.25">
      <c r="A130" s="27"/>
      <c r="B130" s="11" t="str">
        <f>CONCATENATE("          ", "6112", " - ", "COMPENSATION INSURANCE")</f>
        <v xml:space="preserve">          6112 - COMPENSATION INSURANCE</v>
      </c>
      <c r="C130" s="11"/>
      <c r="D130" s="6">
        <v>7180.93</v>
      </c>
      <c r="E130" s="2"/>
      <c r="F130" s="7">
        <f t="shared" si="13"/>
        <v>3.2478313752569684E-3</v>
      </c>
      <c r="G130" s="2"/>
      <c r="H130" s="6">
        <v>11507.06600898461</v>
      </c>
      <c r="I130" s="2"/>
      <c r="J130" s="7">
        <f t="shared" si="14"/>
        <v>4.1488299043523384E-3</v>
      </c>
      <c r="K130" s="2"/>
      <c r="L130" s="6">
        <f t="shared" si="15"/>
        <v>-4326.1360089846094</v>
      </c>
      <c r="M130" s="2"/>
      <c r="N130" s="7">
        <f t="shared" si="16"/>
        <v>-0.37595473994907153</v>
      </c>
      <c r="O130" s="11"/>
      <c r="P130" s="6">
        <v>13400.77</v>
      </c>
      <c r="Q130" s="2"/>
      <c r="R130" s="7">
        <f t="shared" si="17"/>
        <v>4.9855902398764484E-3</v>
      </c>
      <c r="S130" s="2"/>
      <c r="T130" s="6">
        <v>22694.68073746538</v>
      </c>
      <c r="U130" s="2"/>
      <c r="V130" s="7">
        <f t="shared" si="18"/>
        <v>6.5517221607694215E-3</v>
      </c>
      <c r="W130" s="2"/>
      <c r="X130" s="6">
        <f t="shared" si="19"/>
        <v>-9293.9107374653795</v>
      </c>
      <c r="Y130" s="2"/>
      <c r="Z130" s="7">
        <f t="shared" si="20"/>
        <v>-0.40951934265911843</v>
      </c>
    </row>
    <row r="131" spans="1:26" s="24" customFormat="1" hidden="1" outlineLevel="2" x14ac:dyDescent="0.25">
      <c r="A131" s="27"/>
      <c r="B131" s="11" t="str">
        <f>CONCATENATE("          ", "6113", " - ", "GROUP INSURANCE")</f>
        <v xml:space="preserve">          6113 - GROUP INSURANCE</v>
      </c>
      <c r="C131" s="11"/>
      <c r="D131" s="6">
        <v>75559.64</v>
      </c>
      <c r="E131" s="2"/>
      <c r="F131" s="7">
        <f t="shared" si="13"/>
        <v>3.4174538603651813E-2</v>
      </c>
      <c r="G131" s="2"/>
      <c r="H131" s="6">
        <v>90074.23076923081</v>
      </c>
      <c r="I131" s="2"/>
      <c r="J131" s="7">
        <f t="shared" si="14"/>
        <v>3.2475929305970326E-2</v>
      </c>
      <c r="K131" s="2"/>
      <c r="L131" s="6">
        <f t="shared" si="15"/>
        <v>-14514.59076923081</v>
      </c>
      <c r="M131" s="2"/>
      <c r="N131" s="7">
        <f t="shared" si="16"/>
        <v>-0.16114032443326695</v>
      </c>
      <c r="O131" s="11"/>
      <c r="P131" s="6">
        <v>151224.64000000001</v>
      </c>
      <c r="Q131" s="2"/>
      <c r="R131" s="7">
        <f t="shared" si="17"/>
        <v>5.6261251346962117E-2</v>
      </c>
      <c r="S131" s="2"/>
      <c r="T131" s="6">
        <v>192288.26923076919</v>
      </c>
      <c r="U131" s="2"/>
      <c r="V131" s="7">
        <f t="shared" si="18"/>
        <v>5.5511656204771463E-2</v>
      </c>
      <c r="W131" s="2"/>
      <c r="X131" s="6">
        <f t="shared" si="19"/>
        <v>-41063.629230769177</v>
      </c>
      <c r="Y131" s="2"/>
      <c r="Z131" s="7">
        <f t="shared" si="20"/>
        <v>-0.21355244079652022</v>
      </c>
    </row>
    <row r="132" spans="1:26" s="24" customFormat="1" hidden="1" outlineLevel="2" x14ac:dyDescent="0.25">
      <c r="A132" s="27"/>
      <c r="B132" s="11" t="str">
        <f>CONCATENATE("          ", "6114", " - ", "STATE UNEMPLOYMENT INSURANCE")</f>
        <v xml:space="preserve">          6114 - STATE UNEMPLOYMENT INSURANCE</v>
      </c>
      <c r="C132" s="11"/>
      <c r="D132" s="6">
        <v>779.29</v>
      </c>
      <c r="E132" s="2"/>
      <c r="F132" s="7">
        <f t="shared" si="13"/>
        <v>3.5246166059605132E-4</v>
      </c>
      <c r="G132" s="2"/>
      <c r="H132" s="6">
        <v>1095.6871744</v>
      </c>
      <c r="I132" s="2"/>
      <c r="J132" s="7">
        <f t="shared" si="14"/>
        <v>3.9504594059134641E-4</v>
      </c>
      <c r="K132" s="2"/>
      <c r="L132" s="6">
        <f t="shared" si="15"/>
        <v>-316.39717440000004</v>
      </c>
      <c r="M132" s="2"/>
      <c r="N132" s="7">
        <f t="shared" si="16"/>
        <v>-0.28876597426018025</v>
      </c>
      <c r="O132" s="11"/>
      <c r="P132" s="6">
        <v>1501.47</v>
      </c>
      <c r="Q132" s="2"/>
      <c r="R132" s="7">
        <f t="shared" si="17"/>
        <v>5.5860328753252911E-4</v>
      </c>
      <c r="S132" s="2"/>
      <c r="T132" s="6">
        <v>2138.2316188999998</v>
      </c>
      <c r="U132" s="2"/>
      <c r="V132" s="7">
        <f t="shared" si="18"/>
        <v>6.1728559412065954E-4</v>
      </c>
      <c r="W132" s="2"/>
      <c r="X132" s="6">
        <f t="shared" si="19"/>
        <v>-636.7616188999998</v>
      </c>
      <c r="Y132" s="2"/>
      <c r="Z132" s="7">
        <f t="shared" si="20"/>
        <v>-0.29779824284311068</v>
      </c>
    </row>
    <row r="133" spans="1:26" s="24" customFormat="1" hidden="1" outlineLevel="2" x14ac:dyDescent="0.25">
      <c r="A133" s="27"/>
      <c r="B133" s="11" t="str">
        <f>CONCATENATE("          ", "6115", " - ", "P.E.R.S.")</f>
        <v xml:space="preserve">          6115 - P.E.R.S.</v>
      </c>
      <c r="C133" s="11"/>
      <c r="D133" s="6">
        <v>14241.5</v>
      </c>
      <c r="E133" s="2"/>
      <c r="F133" s="7">
        <f t="shared" si="13"/>
        <v>6.4412256533237493E-3</v>
      </c>
      <c r="G133" s="2"/>
      <c r="H133" s="6">
        <v>12274.868580000008</v>
      </c>
      <c r="I133" s="2"/>
      <c r="J133" s="7">
        <f t="shared" si="14"/>
        <v>4.4256582691831383E-3</v>
      </c>
      <c r="K133" s="2"/>
      <c r="L133" s="6">
        <f t="shared" si="15"/>
        <v>1966.6314199999924</v>
      </c>
      <c r="M133" s="2"/>
      <c r="N133" s="7">
        <f t="shared" si="16"/>
        <v>0.16021608762511014</v>
      </c>
      <c r="O133" s="11"/>
      <c r="P133" s="6">
        <v>35492.950000000004</v>
      </c>
      <c r="Q133" s="2"/>
      <c r="R133" s="7">
        <f t="shared" si="17"/>
        <v>1.3204711751968192E-2</v>
      </c>
      <c r="S133" s="2"/>
      <c r="T133" s="6">
        <v>27863.80155500002</v>
      </c>
      <c r="U133" s="2"/>
      <c r="V133" s="7">
        <f t="shared" si="18"/>
        <v>8.0439944603320108E-3</v>
      </c>
      <c r="W133" s="2"/>
      <c r="X133" s="6">
        <f t="shared" si="19"/>
        <v>7629.1484449999843</v>
      </c>
      <c r="Y133" s="2"/>
      <c r="Z133" s="7">
        <f t="shared" si="20"/>
        <v>0.27380142045373462</v>
      </c>
    </row>
    <row r="134" spans="1:26" s="24" customFormat="1" hidden="1" outlineLevel="2" x14ac:dyDescent="0.25">
      <c r="A134" s="27"/>
      <c r="B134" s="11" t="str">
        <f>CONCATENATE("          ", "6116", " - ", "EDUCATIONAL BENEFITS")</f>
        <v xml:space="preserve">          6116 - EDUCATIONAL BENEFITS</v>
      </c>
      <c r="C134" s="11"/>
      <c r="D134" s="6"/>
      <c r="E134" s="2"/>
      <c r="F134" s="7">
        <f t="shared" si="13"/>
        <v>0</v>
      </c>
      <c r="G134" s="2"/>
      <c r="H134" s="6">
        <v>0</v>
      </c>
      <c r="I134" s="2"/>
      <c r="J134" s="7">
        <f t="shared" si="14"/>
        <v>0</v>
      </c>
      <c r="K134" s="2"/>
      <c r="L134" s="6">
        <f t="shared" si="15"/>
        <v>0</v>
      </c>
      <c r="M134" s="2"/>
      <c r="N134" s="7">
        <f t="shared" si="16"/>
        <v>0</v>
      </c>
      <c r="O134" s="11"/>
      <c r="P134" s="6">
        <v>0</v>
      </c>
      <c r="Q134" s="2"/>
      <c r="R134" s="7">
        <f t="shared" si="17"/>
        <v>0</v>
      </c>
      <c r="S134" s="2"/>
      <c r="T134" s="6">
        <v>0</v>
      </c>
      <c r="U134" s="2"/>
      <c r="V134" s="7">
        <f t="shared" si="18"/>
        <v>0</v>
      </c>
      <c r="W134" s="2"/>
      <c r="X134" s="6">
        <f t="shared" si="19"/>
        <v>0</v>
      </c>
      <c r="Y134" s="2"/>
      <c r="Z134" s="7">
        <f t="shared" si="20"/>
        <v>0</v>
      </c>
    </row>
    <row r="135" spans="1:26" s="24" customFormat="1" hidden="1" outlineLevel="2" x14ac:dyDescent="0.25">
      <c r="A135" s="27"/>
      <c r="B135" s="11" t="str">
        <f>CONCATENATE("          ", "6117", " - ", "RETIREMENT STAFF HOURLY")</f>
        <v xml:space="preserve">          6117 - RETIREMENT STAFF HOURLY</v>
      </c>
      <c r="C135" s="11"/>
      <c r="D135" s="6">
        <v>1920.07</v>
      </c>
      <c r="E135" s="2"/>
      <c r="F135" s="7">
        <f t="shared" si="13"/>
        <v>8.6842004986675077E-4</v>
      </c>
      <c r="G135" s="2"/>
      <c r="H135" s="6"/>
      <c r="I135" s="2"/>
      <c r="J135" s="7">
        <f t="shared" si="14"/>
        <v>0</v>
      </c>
      <c r="K135" s="2"/>
      <c r="L135" s="6">
        <f t="shared" si="15"/>
        <v>1920.07</v>
      </c>
      <c r="M135" s="2"/>
      <c r="N135" s="7">
        <f t="shared" si="16"/>
        <v>0</v>
      </c>
      <c r="O135" s="11"/>
      <c r="P135" s="6">
        <v>4569.8900000000003</v>
      </c>
      <c r="Q135" s="2"/>
      <c r="R135" s="7">
        <f t="shared" si="17"/>
        <v>1.7001708843080645E-3</v>
      </c>
      <c r="S135" s="2"/>
      <c r="T135" s="6"/>
      <c r="U135" s="2"/>
      <c r="V135" s="7">
        <f t="shared" si="18"/>
        <v>0</v>
      </c>
      <c r="W135" s="2"/>
      <c r="X135" s="6">
        <f t="shared" si="19"/>
        <v>4569.8900000000003</v>
      </c>
      <c r="Y135" s="2"/>
      <c r="Z135" s="7">
        <f t="shared" si="20"/>
        <v>0</v>
      </c>
    </row>
    <row r="136" spans="1:26" s="24" customFormat="1" hidden="1" outlineLevel="2" x14ac:dyDescent="0.25">
      <c r="A136" s="27"/>
      <c r="B136" s="11" t="str">
        <f>CONCATENATE("          ", "6118", " - ", "VACATION")</f>
        <v xml:space="preserve">          6118 - VACATION</v>
      </c>
      <c r="C136" s="11"/>
      <c r="D136" s="6">
        <v>14846.529999999999</v>
      </c>
      <c r="E136" s="2"/>
      <c r="F136" s="7">
        <f t="shared" si="13"/>
        <v>6.7148720218263977E-3</v>
      </c>
      <c r="G136" s="2"/>
      <c r="H136" s="6">
        <v>12991.104450769239</v>
      </c>
      <c r="I136" s="2"/>
      <c r="J136" s="7">
        <f t="shared" si="14"/>
        <v>4.6838944517945073E-3</v>
      </c>
      <c r="K136" s="2"/>
      <c r="L136" s="6">
        <f t="shared" si="15"/>
        <v>1855.4255492307602</v>
      </c>
      <c r="M136" s="2"/>
      <c r="N136" s="7">
        <f t="shared" si="16"/>
        <v>0.14282277201773214</v>
      </c>
      <c r="O136" s="11"/>
      <c r="P136" s="6">
        <v>29169.38</v>
      </c>
      <c r="Q136" s="2"/>
      <c r="R136" s="7">
        <f t="shared" si="17"/>
        <v>1.0852105978331639E-2</v>
      </c>
      <c r="S136" s="2"/>
      <c r="T136" s="6">
        <v>29315.57126423077</v>
      </c>
      <c r="U136" s="2"/>
      <c r="V136" s="7">
        <f t="shared" si="18"/>
        <v>8.4631055236834649E-3</v>
      </c>
      <c r="W136" s="2"/>
      <c r="X136" s="6">
        <f t="shared" si="19"/>
        <v>-146.19126423076887</v>
      </c>
      <c r="Y136" s="2"/>
      <c r="Z136" s="7">
        <f t="shared" si="20"/>
        <v>-4.986812738974093E-3</v>
      </c>
    </row>
    <row r="137" spans="1:26" s="24" customFormat="1" hidden="1" outlineLevel="2" x14ac:dyDescent="0.25">
      <c r="A137" s="27"/>
      <c r="B137" s="11" t="str">
        <f>CONCATENATE("          ", "6119", " - ", "SICK LEAVE")</f>
        <v xml:space="preserve">          6119 - SICK LEAVE</v>
      </c>
      <c r="C137" s="11"/>
      <c r="D137" s="6">
        <v>10199.56</v>
      </c>
      <c r="E137" s="2"/>
      <c r="F137" s="7">
        <f t="shared" si="13"/>
        <v>4.6131143155295987E-3</v>
      </c>
      <c r="G137" s="2"/>
      <c r="H137" s="6">
        <v>11781.516969230766</v>
      </c>
      <c r="I137" s="2"/>
      <c r="J137" s="7">
        <f t="shared" si="14"/>
        <v>4.2477821785687564E-3</v>
      </c>
      <c r="K137" s="2"/>
      <c r="L137" s="6">
        <f t="shared" si="15"/>
        <v>-1581.9569692307668</v>
      </c>
      <c r="M137" s="2"/>
      <c r="N137" s="7">
        <f t="shared" si="16"/>
        <v>-0.13427447190054467</v>
      </c>
      <c r="O137" s="11"/>
      <c r="P137" s="6">
        <v>20399.12</v>
      </c>
      <c r="Q137" s="2"/>
      <c r="R137" s="7">
        <f t="shared" si="17"/>
        <v>7.5892395417627824E-3</v>
      </c>
      <c r="S137" s="2"/>
      <c r="T137" s="6">
        <v>23761.934255769218</v>
      </c>
      <c r="U137" s="2"/>
      <c r="V137" s="7">
        <f t="shared" si="18"/>
        <v>6.8598273334272205E-3</v>
      </c>
      <c r="W137" s="2"/>
      <c r="X137" s="6">
        <f t="shared" si="19"/>
        <v>-3362.814255769219</v>
      </c>
      <c r="Y137" s="2"/>
      <c r="Z137" s="7">
        <f t="shared" si="20"/>
        <v>-0.14152106556530655</v>
      </c>
    </row>
    <row r="138" spans="1:26" s="24" customFormat="1" hidden="1" outlineLevel="2" x14ac:dyDescent="0.25">
      <c r="A138" s="27"/>
      <c r="B138" s="11" t="str">
        <f>CONCATENATE("          ", "6156", " - ", "EMPLOYEE MEALS")</f>
        <v xml:space="preserve">          6156 - EMPLOYEE MEALS</v>
      </c>
      <c r="C138" s="11"/>
      <c r="D138" s="6">
        <v>4642.8500000000004</v>
      </c>
      <c r="E138" s="2"/>
      <c r="F138" s="7">
        <f t="shared" si="13"/>
        <v>2.0998942895435295E-3</v>
      </c>
      <c r="G138" s="2"/>
      <c r="H138" s="6">
        <v>6350</v>
      </c>
      <c r="I138" s="2"/>
      <c r="J138" s="7">
        <f t="shared" si="14"/>
        <v>2.2894689117162761E-3</v>
      </c>
      <c r="K138" s="2"/>
      <c r="L138" s="6">
        <f t="shared" si="15"/>
        <v>-1707.1499999999996</v>
      </c>
      <c r="M138" s="2"/>
      <c r="N138" s="7">
        <f t="shared" si="16"/>
        <v>-0.26884251968503931</v>
      </c>
      <c r="O138" s="11"/>
      <c r="P138" s="6">
        <v>8855.6299999999992</v>
      </c>
      <c r="Q138" s="2"/>
      <c r="R138" s="7">
        <f t="shared" si="17"/>
        <v>3.294627286040807E-3</v>
      </c>
      <c r="S138" s="2"/>
      <c r="T138" s="6">
        <v>12700</v>
      </c>
      <c r="U138" s="2"/>
      <c r="V138" s="7">
        <f t="shared" si="18"/>
        <v>3.6663600781309995E-3</v>
      </c>
      <c r="W138" s="2"/>
      <c r="X138" s="6">
        <f t="shared" si="19"/>
        <v>-3844.3700000000008</v>
      </c>
      <c r="Y138" s="2"/>
      <c r="Z138" s="7">
        <f t="shared" si="20"/>
        <v>-0.30270629921259851</v>
      </c>
    </row>
    <row r="139" spans="1:26" s="29" customFormat="1" outlineLevel="1" collapsed="1" x14ac:dyDescent="0.25">
      <c r="A139" s="28"/>
      <c r="B139" s="14" t="str">
        <f>CONCATENATE("     ","*Payroll                                          ")</f>
        <v xml:space="preserve">     *Payroll                                          </v>
      </c>
      <c r="C139" s="14"/>
      <c r="D139" s="1">
        <f>SUM(OSRRefD22_1x_0)</f>
        <v>314680.14999999997</v>
      </c>
      <c r="E139" s="1"/>
      <c r="F139" s="5">
        <f t="shared" ref="F139:F149" si="21">IF(D$12=0,0,D139/D$12)</f>
        <v>0.14232530665813048</v>
      </c>
      <c r="G139" s="1"/>
      <c r="H139" s="1">
        <f>SUM(OSRRefH22_1x_0)</f>
        <v>395447.18836215389</v>
      </c>
      <c r="I139" s="1"/>
      <c r="J139" s="5">
        <f t="shared" ref="J139:J149" si="22">IF(H$12=0,0,H139/H$12)</f>
        <v>0.14257701480011994</v>
      </c>
      <c r="K139" s="1"/>
      <c r="L139" s="1">
        <f t="shared" ref="L139:L149" si="23">+D139-H139</f>
        <v>-80767.038362153922</v>
      </c>
      <c r="M139" s="1"/>
      <c r="N139" s="5">
        <f t="shared" ref="N139:N149" si="24">IF(H139=0,0,L139/H139)</f>
        <v>-0.20424228756479812</v>
      </c>
      <c r="O139" s="14"/>
      <c r="P139" s="1">
        <f>SUM(OSRRefP22_1x_0)</f>
        <v>592083.31999999995</v>
      </c>
      <c r="Q139" s="1"/>
      <c r="R139" s="5">
        <f t="shared" ref="R139:R149" si="25">IF(P$12=0,0,P139/P$12)</f>
        <v>0.22027725432088183</v>
      </c>
      <c r="S139" s="1"/>
      <c r="T139" s="1">
        <f>SUM(OSRRefT22_1x_0)</f>
        <v>765718.26423984626</v>
      </c>
      <c r="U139" s="1"/>
      <c r="V139" s="5">
        <f t="shared" ref="V139:V149" si="26">IF(T$12=0,0,T139/T$12)</f>
        <v>0.22105502953580597</v>
      </c>
      <c r="W139" s="1"/>
      <c r="X139" s="1">
        <f t="shared" ref="X139:X149" si="27">+P139-T139</f>
        <v>-173634.94423984631</v>
      </c>
      <c r="Y139" s="1"/>
      <c r="Z139" s="5">
        <f t="shared" ref="Z139:Z149" si="28">IF(T139=0,0,X139/T139)</f>
        <v>-0.2267608758323395</v>
      </c>
    </row>
    <row r="140" spans="1:26" s="24" customFormat="1" hidden="1" outlineLevel="2" x14ac:dyDescent="0.25">
      <c r="A140" s="27"/>
      <c r="B140" s="11" t="str">
        <f>CONCATENATE("          ", "6001", " - ", "ADMINISTRATIVE SALARIES")</f>
        <v xml:space="preserve">          6001 - ADMINISTRATIVE SALARIES</v>
      </c>
      <c r="C140" s="11"/>
      <c r="D140" s="6">
        <v>24856.46</v>
      </c>
      <c r="E140" s="2"/>
      <c r="F140" s="7">
        <f t="shared" si="21"/>
        <v>1.124221941528741E-2</v>
      </c>
      <c r="G140" s="2"/>
      <c r="H140" s="6">
        <v>27028.93076923077</v>
      </c>
      <c r="I140" s="2"/>
      <c r="J140" s="7">
        <f t="shared" si="22"/>
        <v>9.7451805847378493E-3</v>
      </c>
      <c r="K140" s="2"/>
      <c r="L140" s="6">
        <f t="shared" si="23"/>
        <v>-2172.4707692307711</v>
      </c>
      <c r="M140" s="2"/>
      <c r="N140" s="7">
        <f t="shared" si="24"/>
        <v>-8.0375756916876318E-2</v>
      </c>
      <c r="O140" s="11"/>
      <c r="P140" s="6">
        <v>57046.899999999994</v>
      </c>
      <c r="Q140" s="2"/>
      <c r="R140" s="7">
        <f t="shared" si="25"/>
        <v>2.122359146938629E-2</v>
      </c>
      <c r="S140" s="2"/>
      <c r="T140" s="6">
        <v>60815.094230769217</v>
      </c>
      <c r="U140" s="2"/>
      <c r="V140" s="7">
        <f t="shared" si="26"/>
        <v>1.7556695561847805E-2</v>
      </c>
      <c r="W140" s="2"/>
      <c r="X140" s="6">
        <f t="shared" si="27"/>
        <v>-3768.1942307692225</v>
      </c>
      <c r="Y140" s="2"/>
      <c r="Z140" s="7">
        <f t="shared" si="28"/>
        <v>-6.1961496211292814E-2</v>
      </c>
    </row>
    <row r="141" spans="1:26" s="24" customFormat="1" hidden="1" outlineLevel="2" x14ac:dyDescent="0.25">
      <c r="A141" s="27"/>
      <c r="B141" s="11" t="str">
        <f>CONCATENATE("          ", "6002", " - ", "STAFF SALARIES")</f>
        <v xml:space="preserve">          6002 - STAFF SALARIES</v>
      </c>
      <c r="C141" s="11"/>
      <c r="D141" s="6">
        <v>110527.54</v>
      </c>
      <c r="E141" s="2"/>
      <c r="F141" s="7">
        <f t="shared" si="21"/>
        <v>4.999001692565859E-2</v>
      </c>
      <c r="G141" s="2"/>
      <c r="H141" s="6">
        <v>102115.08893292308</v>
      </c>
      <c r="I141" s="2"/>
      <c r="J141" s="7">
        <f t="shared" si="22"/>
        <v>3.6817215988829949E-2</v>
      </c>
      <c r="K141" s="2"/>
      <c r="L141" s="6">
        <f t="shared" si="23"/>
        <v>8412.4510670769087</v>
      </c>
      <c r="M141" s="2"/>
      <c r="N141" s="7">
        <f t="shared" si="24"/>
        <v>8.2382056902509701E-2</v>
      </c>
      <c r="O141" s="11"/>
      <c r="P141" s="6">
        <v>246455.61</v>
      </c>
      <c r="Q141" s="2"/>
      <c r="R141" s="7">
        <f t="shared" si="25"/>
        <v>9.1690752380556961E-2</v>
      </c>
      <c r="S141" s="2"/>
      <c r="T141" s="6">
        <v>232469.18134907697</v>
      </c>
      <c r="U141" s="2"/>
      <c r="V141" s="7">
        <f t="shared" si="26"/>
        <v>6.7111474479846556E-2</v>
      </c>
      <c r="W141" s="2"/>
      <c r="X141" s="6">
        <f t="shared" si="27"/>
        <v>13986.428650923015</v>
      </c>
      <c r="Y141" s="2"/>
      <c r="Z141" s="7">
        <f t="shared" si="28"/>
        <v>6.0164657395686869E-2</v>
      </c>
    </row>
    <row r="142" spans="1:26" s="24" customFormat="1" hidden="1" outlineLevel="2" x14ac:dyDescent="0.25">
      <c r="A142" s="27"/>
      <c r="B142" s="11" t="str">
        <f>CONCATENATE("          ", "6003", " - ", "STAFF HOURLY-9 MONTH")</f>
        <v xml:space="preserve">          6003 - STAFF HOURLY-9 MONTH</v>
      </c>
      <c r="C142" s="11"/>
      <c r="D142" s="6"/>
      <c r="E142" s="2"/>
      <c r="F142" s="7">
        <f t="shared" si="21"/>
        <v>0</v>
      </c>
      <c r="G142" s="2"/>
      <c r="H142" s="6">
        <v>0</v>
      </c>
      <c r="I142" s="2"/>
      <c r="J142" s="7">
        <f t="shared" si="22"/>
        <v>0</v>
      </c>
      <c r="K142" s="2"/>
      <c r="L142" s="6">
        <f t="shared" si="23"/>
        <v>0</v>
      </c>
      <c r="M142" s="2"/>
      <c r="N142" s="7">
        <f t="shared" si="24"/>
        <v>0</v>
      </c>
      <c r="O142" s="11"/>
      <c r="P142" s="6"/>
      <c r="Q142" s="2"/>
      <c r="R142" s="7">
        <f t="shared" si="25"/>
        <v>0</v>
      </c>
      <c r="S142" s="2"/>
      <c r="T142" s="6">
        <v>0</v>
      </c>
      <c r="U142" s="2"/>
      <c r="V142" s="7">
        <f t="shared" si="26"/>
        <v>0</v>
      </c>
      <c r="W142" s="2"/>
      <c r="X142" s="6">
        <f t="shared" si="27"/>
        <v>0</v>
      </c>
      <c r="Y142" s="2"/>
      <c r="Z142" s="7">
        <f t="shared" si="28"/>
        <v>0</v>
      </c>
    </row>
    <row r="143" spans="1:26" s="24" customFormat="1" hidden="1" outlineLevel="2" x14ac:dyDescent="0.25">
      <c r="A143" s="27"/>
      <c r="B143" s="11" t="str">
        <f>CONCATENATE("          ", "6004", " - ", "STAFF HOURLY")</f>
        <v xml:space="preserve">          6004 - STAFF HOURLY</v>
      </c>
      <c r="C143" s="11"/>
      <c r="D143" s="6">
        <v>64226.310000000005</v>
      </c>
      <c r="E143" s="2"/>
      <c r="F143" s="7">
        <f t="shared" si="21"/>
        <v>2.9048636421045795E-2</v>
      </c>
      <c r="G143" s="2"/>
      <c r="H143" s="6">
        <v>103234.29000000001</v>
      </c>
      <c r="I143" s="2"/>
      <c r="J143" s="7">
        <f t="shared" si="22"/>
        <v>3.7220739776079127E-2</v>
      </c>
      <c r="K143" s="2"/>
      <c r="L143" s="6">
        <f t="shared" si="23"/>
        <v>-39007.980000000003</v>
      </c>
      <c r="M143" s="2"/>
      <c r="N143" s="7">
        <f t="shared" si="24"/>
        <v>-0.37785875216461506</v>
      </c>
      <c r="O143" s="11"/>
      <c r="P143" s="6">
        <v>118895.79</v>
      </c>
      <c r="Q143" s="2"/>
      <c r="R143" s="7">
        <f t="shared" si="25"/>
        <v>4.4233703748844264E-2</v>
      </c>
      <c r="S143" s="2"/>
      <c r="T143" s="6">
        <v>219547.54</v>
      </c>
      <c r="U143" s="2"/>
      <c r="V143" s="7">
        <f t="shared" si="26"/>
        <v>6.3381128811643206E-2</v>
      </c>
      <c r="W143" s="2"/>
      <c r="X143" s="6">
        <f t="shared" si="27"/>
        <v>-100651.75000000001</v>
      </c>
      <c r="Y143" s="2"/>
      <c r="Z143" s="7">
        <f t="shared" si="28"/>
        <v>-0.45845082117522251</v>
      </c>
    </row>
    <row r="144" spans="1:26" s="24" customFormat="1" hidden="1" outlineLevel="2" x14ac:dyDescent="0.25">
      <c r="A144" s="27"/>
      <c r="B144" s="11" t="str">
        <f>CONCATENATE("          ", "6005", " - ", "TEMPORARY WAGES-HOURLY")</f>
        <v xml:space="preserve">          6005 - TEMPORARY WAGES-HOURLY</v>
      </c>
      <c r="C144" s="11"/>
      <c r="D144" s="6">
        <v>31518.659999999996</v>
      </c>
      <c r="E144" s="2"/>
      <c r="F144" s="7">
        <f t="shared" si="21"/>
        <v>1.4255436671024057E-2</v>
      </c>
      <c r="G144" s="2"/>
      <c r="H144" s="6">
        <v>15484.11866</v>
      </c>
      <c r="I144" s="2"/>
      <c r="J144" s="7">
        <f t="shared" si="22"/>
        <v>5.5827414641568315E-3</v>
      </c>
      <c r="K144" s="2"/>
      <c r="L144" s="6">
        <f t="shared" si="23"/>
        <v>16034.541339999996</v>
      </c>
      <c r="M144" s="2"/>
      <c r="N144" s="7">
        <f t="shared" si="24"/>
        <v>1.0355475627697106</v>
      </c>
      <c r="O144" s="11"/>
      <c r="P144" s="6">
        <v>50641.599999999999</v>
      </c>
      <c r="Q144" s="2"/>
      <c r="R144" s="7">
        <f t="shared" si="25"/>
        <v>1.8840579063123024E-2</v>
      </c>
      <c r="S144" s="2"/>
      <c r="T144" s="6">
        <v>20825.138660000001</v>
      </c>
      <c r="U144" s="2"/>
      <c r="V144" s="7">
        <f t="shared" si="26"/>
        <v>6.0120044885485432E-3</v>
      </c>
      <c r="W144" s="2"/>
      <c r="X144" s="6">
        <f t="shared" si="27"/>
        <v>29816.461339999998</v>
      </c>
      <c r="Y144" s="2"/>
      <c r="Z144" s="7">
        <f t="shared" si="28"/>
        <v>1.4317533163546292</v>
      </c>
    </row>
    <row r="145" spans="1:26" s="24" customFormat="1" hidden="1" outlineLevel="2" x14ac:dyDescent="0.25">
      <c r="A145" s="27"/>
      <c r="B145" s="11" t="str">
        <f>CONCATENATE("          ", "6006", " - ", "TEMPORARY PART TIME")</f>
        <v xml:space="preserve">          6006 - TEMPORARY PART TIME</v>
      </c>
      <c r="C145" s="11"/>
      <c r="D145" s="6">
        <v>1927.34</v>
      </c>
      <c r="E145" s="2"/>
      <c r="F145" s="7">
        <f t="shared" si="21"/>
        <v>8.7170816632215669E-4</v>
      </c>
      <c r="G145" s="2"/>
      <c r="H145" s="6">
        <v>0</v>
      </c>
      <c r="I145" s="2"/>
      <c r="J145" s="7">
        <f t="shared" si="22"/>
        <v>0</v>
      </c>
      <c r="K145" s="2"/>
      <c r="L145" s="6">
        <f t="shared" si="23"/>
        <v>1927.34</v>
      </c>
      <c r="M145" s="2"/>
      <c r="N145" s="7">
        <f t="shared" si="24"/>
        <v>0</v>
      </c>
      <c r="O145" s="11"/>
      <c r="P145" s="6">
        <v>3975.55</v>
      </c>
      <c r="Q145" s="2"/>
      <c r="R145" s="7">
        <f t="shared" si="25"/>
        <v>1.479054060187647E-3</v>
      </c>
      <c r="S145" s="2"/>
      <c r="T145" s="6">
        <v>0</v>
      </c>
      <c r="U145" s="2"/>
      <c r="V145" s="7">
        <f t="shared" si="26"/>
        <v>0</v>
      </c>
      <c r="W145" s="2"/>
      <c r="X145" s="6">
        <f t="shared" si="27"/>
        <v>3975.55</v>
      </c>
      <c r="Y145" s="2"/>
      <c r="Z145" s="7">
        <f t="shared" si="28"/>
        <v>0</v>
      </c>
    </row>
    <row r="146" spans="1:26" s="24" customFormat="1" hidden="1" outlineLevel="2" x14ac:dyDescent="0.25">
      <c r="A146" s="27"/>
      <c r="B146" s="11" t="str">
        <f>CONCATENATE("          ", "6007", " - ", "STUDENT HOURLY")</f>
        <v xml:space="preserve">          6007 - STUDENT HOURLY</v>
      </c>
      <c r="C146" s="11"/>
      <c r="D146" s="6">
        <v>80574.48</v>
      </c>
      <c r="E146" s="2"/>
      <c r="F146" s="7">
        <f t="shared" si="21"/>
        <v>3.6442678620877113E-2</v>
      </c>
      <c r="G146" s="2"/>
      <c r="H146" s="6">
        <v>100718.95</v>
      </c>
      <c r="I146" s="2"/>
      <c r="J146" s="7">
        <f t="shared" si="22"/>
        <v>3.6313843282788347E-2</v>
      </c>
      <c r="K146" s="2"/>
      <c r="L146" s="6">
        <f t="shared" si="23"/>
        <v>-20144.47</v>
      </c>
      <c r="M146" s="2"/>
      <c r="N146" s="7">
        <f t="shared" si="24"/>
        <v>-0.20000675146037564</v>
      </c>
      <c r="O146" s="11"/>
      <c r="P146" s="6">
        <v>114018.51</v>
      </c>
      <c r="Q146" s="2"/>
      <c r="R146" s="7">
        <f t="shared" si="25"/>
        <v>4.2419172228256669E-2</v>
      </c>
      <c r="S146" s="2"/>
      <c r="T146" s="6">
        <v>180176.75</v>
      </c>
      <c r="U146" s="2"/>
      <c r="V146" s="7">
        <f t="shared" si="26"/>
        <v>5.2015184504518863E-2</v>
      </c>
      <c r="W146" s="2"/>
      <c r="X146" s="6">
        <f t="shared" si="27"/>
        <v>-66158.240000000005</v>
      </c>
      <c r="Y146" s="2"/>
      <c r="Z146" s="7">
        <f t="shared" si="28"/>
        <v>-0.36718522228866934</v>
      </c>
    </row>
    <row r="147" spans="1:26" s="24" customFormat="1" hidden="1" outlineLevel="2" x14ac:dyDescent="0.25">
      <c r="A147" s="27"/>
      <c r="B147" s="11" t="str">
        <f>CONCATENATE("          ", "6008", " - ", "STUDENT HOURLY-FICA EXEMPT")</f>
        <v xml:space="preserve">          6008 - STUDENT HOURLY-FICA EXEMPT</v>
      </c>
      <c r="C147" s="11"/>
      <c r="D147" s="6">
        <v>1049.3599999999999</v>
      </c>
      <c r="E147" s="2"/>
      <c r="F147" s="7">
        <f t="shared" si="21"/>
        <v>4.7461043791537474E-4</v>
      </c>
      <c r="G147" s="2"/>
      <c r="H147" s="6">
        <v>46865.81</v>
      </c>
      <c r="I147" s="2"/>
      <c r="J147" s="7">
        <f t="shared" si="22"/>
        <v>1.6897293703527837E-2</v>
      </c>
      <c r="K147" s="2"/>
      <c r="L147" s="6">
        <f t="shared" si="23"/>
        <v>-45816.45</v>
      </c>
      <c r="M147" s="2"/>
      <c r="N147" s="7">
        <f t="shared" si="24"/>
        <v>-0.97760926355481748</v>
      </c>
      <c r="O147" s="11"/>
      <c r="P147" s="6">
        <v>1049.3599999999999</v>
      </c>
      <c r="Q147" s="2"/>
      <c r="R147" s="7">
        <f t="shared" si="25"/>
        <v>3.9040137052697338E-4</v>
      </c>
      <c r="S147" s="2"/>
      <c r="T147" s="6">
        <v>51884.56</v>
      </c>
      <c r="U147" s="2"/>
      <c r="V147" s="7">
        <f t="shared" si="26"/>
        <v>1.4978541689400986E-2</v>
      </c>
      <c r="W147" s="2"/>
      <c r="X147" s="6">
        <f t="shared" si="27"/>
        <v>-50835.199999999997</v>
      </c>
      <c r="Y147" s="2"/>
      <c r="Z147" s="7">
        <f t="shared" si="28"/>
        <v>-0.97977510072360641</v>
      </c>
    </row>
    <row r="148" spans="1:26" s="24" customFormat="1" hidden="1" outlineLevel="2" x14ac:dyDescent="0.25">
      <c r="A148" s="27"/>
      <c r="B148" s="11" t="str">
        <f>CONCATENATE("          ", "6009", " - ", "TEMPORARY-SEASONAL")</f>
        <v xml:space="preserve">          6009 - TEMPORARY-SEASONAL</v>
      </c>
      <c r="C148" s="11"/>
      <c r="D148" s="6"/>
      <c r="E148" s="2"/>
      <c r="F148" s="7">
        <f t="shared" si="21"/>
        <v>0</v>
      </c>
      <c r="G148" s="2"/>
      <c r="H148" s="6">
        <v>0</v>
      </c>
      <c r="I148" s="2"/>
      <c r="J148" s="7">
        <f t="shared" si="22"/>
        <v>0</v>
      </c>
      <c r="K148" s="2"/>
      <c r="L148" s="6">
        <f t="shared" si="23"/>
        <v>0</v>
      </c>
      <c r="M148" s="2"/>
      <c r="N148" s="7">
        <f t="shared" si="24"/>
        <v>0</v>
      </c>
      <c r="O148" s="11"/>
      <c r="P148" s="6"/>
      <c r="Q148" s="2"/>
      <c r="R148" s="7">
        <f t="shared" si="25"/>
        <v>0</v>
      </c>
      <c r="S148" s="2"/>
      <c r="T148" s="6">
        <v>0</v>
      </c>
      <c r="U148" s="2"/>
      <c r="V148" s="7">
        <f t="shared" si="26"/>
        <v>0</v>
      </c>
      <c r="W148" s="2"/>
      <c r="X148" s="6">
        <f t="shared" si="27"/>
        <v>0</v>
      </c>
      <c r="Y148" s="2"/>
      <c r="Z148" s="7">
        <f t="shared" si="28"/>
        <v>0</v>
      </c>
    </row>
    <row r="149" spans="1:26" s="24" customFormat="1" hidden="1" outlineLevel="2" x14ac:dyDescent="0.25">
      <c r="A149" s="27"/>
      <c r="B149" s="11" t="str">
        <f>CONCATENATE("          ", "6010", " - ", "GRATUITY")</f>
        <v xml:space="preserve">          6010 - GRATUITY</v>
      </c>
      <c r="C149" s="11"/>
      <c r="D149" s="6"/>
      <c r="E149" s="2"/>
      <c r="F149" s="7">
        <f t="shared" si="21"/>
        <v>0</v>
      </c>
      <c r="G149" s="2"/>
      <c r="H149" s="6">
        <v>0</v>
      </c>
      <c r="I149" s="2"/>
      <c r="J149" s="7">
        <f t="shared" si="22"/>
        <v>0</v>
      </c>
      <c r="K149" s="2"/>
      <c r="L149" s="6">
        <f t="shared" si="23"/>
        <v>0</v>
      </c>
      <c r="M149" s="2"/>
      <c r="N149" s="7">
        <f t="shared" si="24"/>
        <v>0</v>
      </c>
      <c r="O149" s="11"/>
      <c r="P149" s="6"/>
      <c r="Q149" s="2"/>
      <c r="R149" s="7">
        <f t="shared" si="25"/>
        <v>0</v>
      </c>
      <c r="S149" s="2"/>
      <c r="T149" s="6">
        <v>0</v>
      </c>
      <c r="U149" s="2"/>
      <c r="V149" s="7">
        <f t="shared" si="26"/>
        <v>0</v>
      </c>
      <c r="W149" s="2"/>
      <c r="X149" s="6">
        <f t="shared" si="27"/>
        <v>0</v>
      </c>
      <c r="Y149" s="2"/>
      <c r="Z149" s="7">
        <f t="shared" si="28"/>
        <v>0</v>
      </c>
    </row>
    <row r="150" spans="1:26" s="29" customFormat="1" outlineLevel="1" collapsed="1" x14ac:dyDescent="0.25">
      <c r="A150" s="28"/>
      <c r="B150" s="14" t="str">
        <f>CONCATENATE("     ","Advertising/Promo                                 ")</f>
        <v xml:space="preserve">     Advertising/Promo                                 </v>
      </c>
      <c r="C150" s="14"/>
      <c r="D150" s="1">
        <f>SUM(OSRRefD22_2x_0)</f>
        <v>10215.11</v>
      </c>
      <c r="E150" s="1"/>
      <c r="F150" s="5">
        <f t="shared" ref="F150:F154" si="29">IF(D$12=0,0,D150/D$12)</f>
        <v>4.620147356916334E-3</v>
      </c>
      <c r="G150" s="1"/>
      <c r="H150" s="1">
        <f>SUM(OSRRefH22_2x_0)</f>
        <v>4158</v>
      </c>
      <c r="I150" s="1"/>
      <c r="J150" s="5">
        <f t="shared" ref="J150:J154" si="30">IF(H$12=0,0,H150/H$12)</f>
        <v>1.4991514543175237E-3</v>
      </c>
      <c r="K150" s="1"/>
      <c r="L150" s="1">
        <f t="shared" ref="L150:L154" si="31">+D150-H150</f>
        <v>6057.1100000000006</v>
      </c>
      <c r="M150" s="1"/>
      <c r="N150" s="5">
        <f t="shared" ref="N150:N154" si="32">IF(H150=0,0,L150/H150)</f>
        <v>1.4567364117364119</v>
      </c>
      <c r="O150" s="14"/>
      <c r="P150" s="1">
        <f>SUM(OSRRefP22_2x_0)</f>
        <v>13726.05</v>
      </c>
      <c r="Q150" s="1"/>
      <c r="R150" s="5">
        <f t="shared" ref="R150:R154" si="33">IF(P$12=0,0,P150/P$12)</f>
        <v>5.1066066287277605E-3</v>
      </c>
      <c r="S150" s="1"/>
      <c r="T150" s="1">
        <f>SUM(OSRRefT22_2x_0)</f>
        <v>7678</v>
      </c>
      <c r="U150" s="1"/>
      <c r="V150" s="5">
        <f t="shared" ref="V150:V154" si="34">IF(T$12=0,0,T150/T$12)</f>
        <v>2.216560053534631E-3</v>
      </c>
      <c r="W150" s="1"/>
      <c r="X150" s="1">
        <f t="shared" ref="X150:X154" si="35">+P150-T150</f>
        <v>6048.0499999999993</v>
      </c>
      <c r="Y150" s="1"/>
      <c r="Z150" s="5">
        <f t="shared" ref="Z150:Z154" si="36">IF(T150=0,0,X150/T150)</f>
        <v>0.78771164365720225</v>
      </c>
    </row>
    <row r="151" spans="1:26" s="24" customFormat="1" hidden="1" outlineLevel="2" x14ac:dyDescent="0.25">
      <c r="A151" s="27"/>
      <c r="B151" s="11" t="str">
        <f>CONCATENATE("          ", "6362", " - ", "ADVERTISING EXPENSE")</f>
        <v xml:space="preserve">          6362 - ADVERTISING EXPENSE</v>
      </c>
      <c r="C151" s="11"/>
      <c r="D151" s="6">
        <v>10215.11</v>
      </c>
      <c r="E151" s="2"/>
      <c r="F151" s="7">
        <f t="shared" si="29"/>
        <v>4.620147356916334E-3</v>
      </c>
      <c r="G151" s="2"/>
      <c r="H151" s="6">
        <v>4158</v>
      </c>
      <c r="I151" s="2"/>
      <c r="J151" s="7">
        <f t="shared" si="30"/>
        <v>1.4991514543175237E-3</v>
      </c>
      <c r="K151" s="2"/>
      <c r="L151" s="6">
        <f t="shared" si="31"/>
        <v>6057.1100000000006</v>
      </c>
      <c r="M151" s="2"/>
      <c r="N151" s="7">
        <f t="shared" si="32"/>
        <v>1.4567364117364119</v>
      </c>
      <c r="O151" s="11"/>
      <c r="P151" s="6">
        <v>13726.05</v>
      </c>
      <c r="Q151" s="2"/>
      <c r="R151" s="7">
        <f t="shared" si="33"/>
        <v>5.1066066287277605E-3</v>
      </c>
      <c r="S151" s="2"/>
      <c r="T151" s="6">
        <v>7678</v>
      </c>
      <c r="U151" s="2"/>
      <c r="V151" s="7">
        <f t="shared" si="34"/>
        <v>2.216560053534631E-3</v>
      </c>
      <c r="W151" s="2"/>
      <c r="X151" s="6">
        <f t="shared" si="35"/>
        <v>6048.0499999999993</v>
      </c>
      <c r="Y151" s="2"/>
      <c r="Z151" s="7">
        <f t="shared" si="36"/>
        <v>0.78771164365720225</v>
      </c>
    </row>
    <row r="152" spans="1:26" s="29" customFormat="1" outlineLevel="1" collapsed="1" x14ac:dyDescent="0.25">
      <c r="A152" s="28"/>
      <c r="B152" s="14" t="str">
        <f>CONCATENATE("     ","Bad Debts/Over/Short                              ")</f>
        <v xml:space="preserve">     Bad Debts/Over/Short                              </v>
      </c>
      <c r="C152" s="14"/>
      <c r="D152" s="1">
        <f>SUM(OSRRefD22_3x_0)</f>
        <v>102.42</v>
      </c>
      <c r="E152" s="1"/>
      <c r="F152" s="5">
        <f t="shared" si="29"/>
        <v>4.632309317230758E-5</v>
      </c>
      <c r="G152" s="1"/>
      <c r="H152" s="1">
        <f>SUM(OSRRefH22_3x_0)</f>
        <v>166</v>
      </c>
      <c r="I152" s="1"/>
      <c r="J152" s="5">
        <f t="shared" si="30"/>
        <v>5.985068336140186E-5</v>
      </c>
      <c r="K152" s="1"/>
      <c r="L152" s="1">
        <f t="shared" si="31"/>
        <v>-63.58</v>
      </c>
      <c r="M152" s="1"/>
      <c r="N152" s="5">
        <f t="shared" si="32"/>
        <v>-0.38301204819277107</v>
      </c>
      <c r="O152" s="14"/>
      <c r="P152" s="1">
        <f>SUM(OSRRefP22_3x_0)</f>
        <v>107.4</v>
      </c>
      <c r="Q152" s="1"/>
      <c r="R152" s="5">
        <f t="shared" si="33"/>
        <v>3.995683768639642E-5</v>
      </c>
      <c r="S152" s="1"/>
      <c r="T152" s="1">
        <f>SUM(OSRRefT22_3x_0)</f>
        <v>301</v>
      </c>
      <c r="U152" s="1"/>
      <c r="V152" s="5">
        <f t="shared" si="34"/>
        <v>8.6895620749404001E-5</v>
      </c>
      <c r="W152" s="1"/>
      <c r="X152" s="1">
        <f t="shared" si="35"/>
        <v>-193.6</v>
      </c>
      <c r="Y152" s="1"/>
      <c r="Z152" s="5">
        <f t="shared" si="36"/>
        <v>-0.64318936877076405</v>
      </c>
    </row>
    <row r="153" spans="1:26" s="24" customFormat="1" hidden="1" outlineLevel="2" x14ac:dyDescent="0.25">
      <c r="A153" s="27"/>
      <c r="B153" s="11" t="str">
        <f>CONCATENATE("          ", "6272", " - ", "CASH (OVER/SHORT)")</f>
        <v xml:space="preserve">          6272 - CASH (OVER/SHORT)</v>
      </c>
      <c r="C153" s="11"/>
      <c r="D153" s="6">
        <v>102.42</v>
      </c>
      <c r="E153" s="2"/>
      <c r="F153" s="7">
        <f t="shared" si="29"/>
        <v>4.632309317230758E-5</v>
      </c>
      <c r="G153" s="2"/>
      <c r="H153" s="6">
        <v>116</v>
      </c>
      <c r="I153" s="2"/>
      <c r="J153" s="7">
        <f t="shared" si="30"/>
        <v>4.1823369095919372E-5</v>
      </c>
      <c r="K153" s="2"/>
      <c r="L153" s="6">
        <f t="shared" si="31"/>
        <v>-13.579999999999998</v>
      </c>
      <c r="M153" s="2"/>
      <c r="N153" s="7">
        <f t="shared" si="32"/>
        <v>-0.11706896551724136</v>
      </c>
      <c r="O153" s="11"/>
      <c r="P153" s="6">
        <v>107.4</v>
      </c>
      <c r="Q153" s="2"/>
      <c r="R153" s="7">
        <f t="shared" si="33"/>
        <v>3.995683768639642E-5</v>
      </c>
      <c r="S153" s="2"/>
      <c r="T153" s="6">
        <v>201</v>
      </c>
      <c r="U153" s="2"/>
      <c r="V153" s="7">
        <f t="shared" si="34"/>
        <v>5.8026643756246528E-5</v>
      </c>
      <c r="W153" s="2"/>
      <c r="X153" s="6">
        <f t="shared" si="35"/>
        <v>-93.6</v>
      </c>
      <c r="Y153" s="2"/>
      <c r="Z153" s="7">
        <f t="shared" si="36"/>
        <v>-0.46567164179104475</v>
      </c>
    </row>
    <row r="154" spans="1:26" s="24" customFormat="1" hidden="1" outlineLevel="2" x14ac:dyDescent="0.25">
      <c r="A154" s="27"/>
      <c r="B154" s="11" t="str">
        <f>CONCATENATE("          ", "6342", " - ", "BAD DEBT")</f>
        <v xml:space="preserve">          6342 - BAD DEBT</v>
      </c>
      <c r="C154" s="11"/>
      <c r="D154" s="6"/>
      <c r="E154" s="2"/>
      <c r="F154" s="7">
        <f t="shared" si="29"/>
        <v>0</v>
      </c>
      <c r="G154" s="2"/>
      <c r="H154" s="6">
        <v>50</v>
      </c>
      <c r="I154" s="2"/>
      <c r="J154" s="7">
        <f t="shared" si="30"/>
        <v>1.8027314265482488E-5</v>
      </c>
      <c r="K154" s="2"/>
      <c r="L154" s="6">
        <f t="shared" si="31"/>
        <v>-50</v>
      </c>
      <c r="M154" s="2"/>
      <c r="N154" s="7">
        <f t="shared" si="32"/>
        <v>-1</v>
      </c>
      <c r="O154" s="11"/>
      <c r="P154" s="6"/>
      <c r="Q154" s="2"/>
      <c r="R154" s="7">
        <f t="shared" si="33"/>
        <v>0</v>
      </c>
      <c r="S154" s="2"/>
      <c r="T154" s="6">
        <v>100</v>
      </c>
      <c r="U154" s="2"/>
      <c r="V154" s="7">
        <f t="shared" si="34"/>
        <v>2.8868976993157476E-5</v>
      </c>
      <c r="W154" s="2"/>
      <c r="X154" s="6">
        <f t="shared" si="35"/>
        <v>-100</v>
      </c>
      <c r="Y154" s="2"/>
      <c r="Z154" s="7">
        <f t="shared" si="36"/>
        <v>-1</v>
      </c>
    </row>
    <row r="155" spans="1:26" s="29" customFormat="1" outlineLevel="1" collapsed="1" x14ac:dyDescent="0.25">
      <c r="A155" s="28"/>
      <c r="B155" s="14" t="str">
        <f>CONCATENATE("     ","Bank/card Fees                                    ")</f>
        <v xml:space="preserve">     Bank/card Fees                                    </v>
      </c>
      <c r="C155" s="14"/>
      <c r="D155" s="1">
        <f>SUM(OSRRefD22_4x_0)</f>
        <v>22597.510000000002</v>
      </c>
      <c r="E155" s="1"/>
      <c r="F155" s="5">
        <f t="shared" ref="F155:F160" si="37">IF(D$12=0,0,D155/D$12)</f>
        <v>1.0220528814608011E-2</v>
      </c>
      <c r="G155" s="1"/>
      <c r="H155" s="1">
        <f>SUM(OSRRefH22_4x_0)</f>
        <v>38534</v>
      </c>
      <c r="I155" s="1"/>
      <c r="J155" s="5">
        <f t="shared" ref="J155:J160" si="38">IF(H$12=0,0,H155/H$12)</f>
        <v>1.3893290558122044E-2</v>
      </c>
      <c r="K155" s="1"/>
      <c r="L155" s="1">
        <f t="shared" ref="L155:L160" si="39">+D155-H155</f>
        <v>-15936.489999999998</v>
      </c>
      <c r="M155" s="1"/>
      <c r="N155" s="5">
        <f t="shared" ref="N155:N160" si="40">IF(H155=0,0,L155/H155)</f>
        <v>-0.41356957492084906</v>
      </c>
      <c r="O155" s="14"/>
      <c r="P155" s="1">
        <f>SUM(OSRRefP22_4x_0)</f>
        <v>26303.870000000003</v>
      </c>
      <c r="Q155" s="1"/>
      <c r="R155" s="5">
        <f t="shared" ref="R155:R160" si="41">IF(P$12=0,0,P155/P$12)</f>
        <v>9.786028529926185E-3</v>
      </c>
      <c r="S155" s="1"/>
      <c r="T155" s="1">
        <f>SUM(OSRRefT22_4x_0)</f>
        <v>46145</v>
      </c>
      <c r="U155" s="1"/>
      <c r="V155" s="5">
        <f t="shared" ref="V155:V160" si="42">IF(T$12=0,0,T155/T$12)</f>
        <v>1.3321589433492516E-2</v>
      </c>
      <c r="W155" s="1"/>
      <c r="X155" s="1">
        <f t="shared" ref="X155:X160" si="43">+P155-T155</f>
        <v>-19841.129999999997</v>
      </c>
      <c r="Y155" s="1"/>
      <c r="Z155" s="5">
        <f t="shared" ref="Z155:Z160" si="44">IF(T155=0,0,X155/T155)</f>
        <v>-0.4299735615993065</v>
      </c>
    </row>
    <row r="156" spans="1:26" s="24" customFormat="1" hidden="1" outlineLevel="2" x14ac:dyDescent="0.25">
      <c r="A156" s="27"/>
      <c r="B156" s="11" t="str">
        <f>CONCATENATE("          ", "6381", " - ", "BANK/CREDIT CARD FEES")</f>
        <v xml:space="preserve">          6381 - BANK/CREDIT CARD FEES</v>
      </c>
      <c r="C156" s="11"/>
      <c r="D156" s="6">
        <v>22597.510000000002</v>
      </c>
      <c r="E156" s="2"/>
      <c r="F156" s="7">
        <f t="shared" si="37"/>
        <v>1.0220528814608011E-2</v>
      </c>
      <c r="G156" s="2"/>
      <c r="H156" s="6">
        <v>38534</v>
      </c>
      <c r="I156" s="2"/>
      <c r="J156" s="7">
        <f t="shared" si="38"/>
        <v>1.3893290558122044E-2</v>
      </c>
      <c r="K156" s="2"/>
      <c r="L156" s="6">
        <f t="shared" si="39"/>
        <v>-15936.489999999998</v>
      </c>
      <c r="M156" s="2"/>
      <c r="N156" s="7">
        <f t="shared" si="40"/>
        <v>-0.41356957492084906</v>
      </c>
      <c r="O156" s="11"/>
      <c r="P156" s="6">
        <v>26303.870000000003</v>
      </c>
      <c r="Q156" s="2"/>
      <c r="R156" s="7">
        <f t="shared" si="41"/>
        <v>9.786028529926185E-3</v>
      </c>
      <c r="S156" s="2"/>
      <c r="T156" s="6">
        <v>46145</v>
      </c>
      <c r="U156" s="2"/>
      <c r="V156" s="7">
        <f t="shared" si="42"/>
        <v>1.3321589433492516E-2</v>
      </c>
      <c r="W156" s="2"/>
      <c r="X156" s="6">
        <f t="shared" si="43"/>
        <v>-19841.129999999997</v>
      </c>
      <c r="Y156" s="2"/>
      <c r="Z156" s="7">
        <f t="shared" si="44"/>
        <v>-0.4299735615993065</v>
      </c>
    </row>
    <row r="157" spans="1:26" s="29" customFormat="1" outlineLevel="1" collapsed="1" x14ac:dyDescent="0.25">
      <c r="A157" s="28"/>
      <c r="B157" s="14" t="str">
        <f>CONCATENATE("     ","Depreciation                                      ")</f>
        <v xml:space="preserve">     Depreciation                                      </v>
      </c>
      <c r="C157" s="14"/>
      <c r="D157" s="1">
        <f>SUM(OSRRefD22_5x_0)</f>
        <v>79107.78</v>
      </c>
      <c r="E157" s="1"/>
      <c r="F157" s="5">
        <f t="shared" si="37"/>
        <v>3.5779311302425405E-2</v>
      </c>
      <c r="G157" s="1"/>
      <c r="H157" s="1">
        <f>SUM(OSRRefH22_5x_0)</f>
        <v>78384</v>
      </c>
      <c r="I157" s="1"/>
      <c r="J157" s="5">
        <f t="shared" si="38"/>
        <v>2.8261060027711588E-2</v>
      </c>
      <c r="K157" s="1"/>
      <c r="L157" s="1">
        <f t="shared" si="39"/>
        <v>723.77999999999884</v>
      </c>
      <c r="M157" s="1"/>
      <c r="N157" s="5">
        <f t="shared" si="40"/>
        <v>9.2337721984078226E-3</v>
      </c>
      <c r="O157" s="14"/>
      <c r="P157" s="1">
        <f>SUM(OSRRefP22_5x_0)</f>
        <v>156494.84</v>
      </c>
      <c r="Q157" s="1"/>
      <c r="R157" s="5">
        <f t="shared" si="41"/>
        <v>5.8221963879316364E-2</v>
      </c>
      <c r="S157" s="1"/>
      <c r="T157" s="1">
        <f>SUM(OSRRefT22_5x_0)</f>
        <v>156768</v>
      </c>
      <c r="U157" s="1"/>
      <c r="V157" s="5">
        <f t="shared" si="42"/>
        <v>4.5257317852633108E-2</v>
      </c>
      <c r="W157" s="1"/>
      <c r="X157" s="1">
        <f t="shared" si="43"/>
        <v>-273.16000000000349</v>
      </c>
      <c r="Y157" s="1"/>
      <c r="Z157" s="5">
        <f t="shared" si="44"/>
        <v>-1.7424474382527269E-3</v>
      </c>
    </row>
    <row r="158" spans="1:26" s="24" customFormat="1" hidden="1" outlineLevel="2" x14ac:dyDescent="0.25">
      <c r="A158" s="27"/>
      <c r="B158" s="11" t="str">
        <f>CONCATENATE("          ", "6321", " - ", "BUILDING DEPRECIATION")</f>
        <v xml:space="preserve">          6321 - BUILDING DEPRECIATION</v>
      </c>
      <c r="C158" s="11"/>
      <c r="D158" s="6">
        <v>45321.919999999998</v>
      </c>
      <c r="E158" s="2"/>
      <c r="F158" s="7">
        <f t="shared" si="37"/>
        <v>2.0498452674359211E-2</v>
      </c>
      <c r="G158" s="2"/>
      <c r="H158" s="6"/>
      <c r="I158" s="2"/>
      <c r="J158" s="7">
        <f t="shared" si="38"/>
        <v>0</v>
      </c>
      <c r="K158" s="2"/>
      <c r="L158" s="6">
        <f t="shared" si="39"/>
        <v>45321.919999999998</v>
      </c>
      <c r="M158" s="2"/>
      <c r="N158" s="7">
        <f t="shared" si="40"/>
        <v>0</v>
      </c>
      <c r="O158" s="11"/>
      <c r="P158" s="6">
        <v>90643.839999999997</v>
      </c>
      <c r="Q158" s="2"/>
      <c r="R158" s="7">
        <f t="shared" si="41"/>
        <v>3.3722916221151644E-2</v>
      </c>
      <c r="S158" s="2"/>
      <c r="T158" s="6"/>
      <c r="U158" s="2"/>
      <c r="V158" s="7">
        <f t="shared" si="42"/>
        <v>0</v>
      </c>
      <c r="W158" s="2"/>
      <c r="X158" s="6">
        <f t="shared" si="43"/>
        <v>90643.839999999997</v>
      </c>
      <c r="Y158" s="2"/>
      <c r="Z158" s="7">
        <f t="shared" si="44"/>
        <v>0</v>
      </c>
    </row>
    <row r="159" spans="1:26" s="24" customFormat="1" hidden="1" outlineLevel="2" x14ac:dyDescent="0.25">
      <c r="A159" s="27"/>
      <c r="B159" s="11" t="str">
        <f>CONCATENATE("          ", "6322", " - ", "EQUIPMENT DEPRECIATION EXPENSE")</f>
        <v xml:space="preserve">          6322 - EQUIPMENT DEPRECIATION EXPENSE</v>
      </c>
      <c r="C159" s="11"/>
      <c r="D159" s="6">
        <v>33785.859999999993</v>
      </c>
      <c r="E159" s="2"/>
      <c r="F159" s="7">
        <f t="shared" si="37"/>
        <v>1.5280858628066194E-2</v>
      </c>
      <c r="G159" s="2"/>
      <c r="H159" s="6">
        <v>77834</v>
      </c>
      <c r="I159" s="2"/>
      <c r="J159" s="7">
        <f t="shared" si="38"/>
        <v>2.8062759570791278E-2</v>
      </c>
      <c r="K159" s="2"/>
      <c r="L159" s="6">
        <f t="shared" si="39"/>
        <v>-44048.140000000007</v>
      </c>
      <c r="M159" s="2"/>
      <c r="N159" s="7">
        <f t="shared" si="40"/>
        <v>-0.56592414625998932</v>
      </c>
      <c r="O159" s="11"/>
      <c r="P159" s="6">
        <v>65851</v>
      </c>
      <c r="Q159" s="2"/>
      <c r="R159" s="7">
        <f t="shared" si="41"/>
        <v>2.4499047658164717E-2</v>
      </c>
      <c r="S159" s="2"/>
      <c r="T159" s="6">
        <v>155668</v>
      </c>
      <c r="U159" s="2"/>
      <c r="V159" s="7">
        <f t="shared" si="42"/>
        <v>4.4939759105708375E-2</v>
      </c>
      <c r="W159" s="2"/>
      <c r="X159" s="6">
        <f t="shared" si="43"/>
        <v>-89817</v>
      </c>
      <c r="Y159" s="2"/>
      <c r="Z159" s="7">
        <f t="shared" si="44"/>
        <v>-0.57697792738391962</v>
      </c>
    </row>
    <row r="160" spans="1:26" s="24" customFormat="1" hidden="1" outlineLevel="2" x14ac:dyDescent="0.25">
      <c r="A160" s="27"/>
      <c r="B160" s="11" t="str">
        <f>CONCATENATE("          ", "6326", " - ", "VEHICLES DEPRECIATION EXPENSE")</f>
        <v xml:space="preserve">          6326 - VEHICLES DEPRECIATION EXPENSE</v>
      </c>
      <c r="C160" s="11"/>
      <c r="D160" s="6"/>
      <c r="E160" s="2"/>
      <c r="F160" s="7">
        <f t="shared" si="37"/>
        <v>0</v>
      </c>
      <c r="G160" s="2"/>
      <c r="H160" s="6">
        <v>550</v>
      </c>
      <c r="I160" s="2"/>
      <c r="J160" s="7">
        <f t="shared" si="38"/>
        <v>1.9830045692030739E-4</v>
      </c>
      <c r="K160" s="2"/>
      <c r="L160" s="6">
        <f t="shared" si="39"/>
        <v>-550</v>
      </c>
      <c r="M160" s="2"/>
      <c r="N160" s="7">
        <f t="shared" si="40"/>
        <v>-1</v>
      </c>
      <c r="O160" s="11"/>
      <c r="P160" s="6"/>
      <c r="Q160" s="2"/>
      <c r="R160" s="7">
        <f t="shared" si="41"/>
        <v>0</v>
      </c>
      <c r="S160" s="2"/>
      <c r="T160" s="6">
        <v>1100</v>
      </c>
      <c r="U160" s="2"/>
      <c r="V160" s="7">
        <f t="shared" si="42"/>
        <v>3.175587469247322E-4</v>
      </c>
      <c r="W160" s="2"/>
      <c r="X160" s="6">
        <f t="shared" si="43"/>
        <v>-1100</v>
      </c>
      <c r="Y160" s="2"/>
      <c r="Z160" s="7">
        <f t="shared" si="44"/>
        <v>-1</v>
      </c>
    </row>
    <row r="161" spans="1:26" s="29" customFormat="1" outlineLevel="1" collapsed="1" x14ac:dyDescent="0.25">
      <c r="A161" s="28"/>
      <c r="B161" s="14" t="str">
        <f>CONCATENATE("     ","Discounts and Markdowns                           ")</f>
        <v xml:space="preserve">     Discounts and Markdowns                           </v>
      </c>
      <c r="C161" s="14"/>
      <c r="D161" s="1">
        <f>SUM(OSRRefD22_6x_0)</f>
        <v>0</v>
      </c>
      <c r="E161" s="1"/>
      <c r="F161" s="5">
        <f t="shared" ref="F161:F165" si="45">IF(D$12=0,0,D161/D$12)</f>
        <v>0</v>
      </c>
      <c r="G161" s="1"/>
      <c r="H161" s="1">
        <f>SUM(OSRRefH22_6x_0)</f>
        <v>41128</v>
      </c>
      <c r="I161" s="1"/>
      <c r="J161" s="5">
        <f t="shared" ref="J161:J165" si="46">IF(H$12=0,0,H161/H$12)</f>
        <v>1.4828547622215275E-2</v>
      </c>
      <c r="K161" s="1"/>
      <c r="L161" s="1">
        <f t="shared" ref="L161:L165" si="47">+D161-H161</f>
        <v>-41128</v>
      </c>
      <c r="M161" s="1"/>
      <c r="N161" s="5">
        <f t="shared" ref="N161:N165" si="48">IF(H161=0,0,L161/H161)</f>
        <v>-1</v>
      </c>
      <c r="O161" s="14"/>
      <c r="P161" s="1">
        <f>SUM(OSRRefP22_6x_0)</f>
        <v>0</v>
      </c>
      <c r="Q161" s="1"/>
      <c r="R161" s="5">
        <f t="shared" ref="R161:R165" si="49">IF(P$12=0,0,P161/P$12)</f>
        <v>0</v>
      </c>
      <c r="S161" s="1"/>
      <c r="T161" s="1">
        <f>SUM(OSRRefT22_6x_0)</f>
        <v>65948</v>
      </c>
      <c r="U161" s="1"/>
      <c r="V161" s="5">
        <f t="shared" ref="V161:V165" si="50">IF(T$12=0,0,T161/T$12)</f>
        <v>1.9038512947447492E-2</v>
      </c>
      <c r="W161" s="1"/>
      <c r="X161" s="1">
        <f t="shared" ref="X161:X165" si="51">+P161-T161</f>
        <v>-65948</v>
      </c>
      <c r="Y161" s="1"/>
      <c r="Z161" s="5">
        <f t="shared" ref="Z161:Z165" si="52">IF(T161=0,0,X161/T161)</f>
        <v>-1</v>
      </c>
    </row>
    <row r="162" spans="1:26" s="24" customFormat="1" hidden="1" outlineLevel="2" x14ac:dyDescent="0.25">
      <c r="A162" s="27"/>
      <c r="B162" s="11" t="str">
        <f>CONCATENATE("          ", "6382", " - ", "DISCOUNTS/MARK DOWNS")</f>
        <v xml:space="preserve">          6382 - DISCOUNTS/MARK DOWNS</v>
      </c>
      <c r="C162" s="11"/>
      <c r="D162" s="6"/>
      <c r="E162" s="2"/>
      <c r="F162" s="7">
        <f t="shared" si="45"/>
        <v>0</v>
      </c>
      <c r="G162" s="2"/>
      <c r="H162" s="6">
        <v>41128</v>
      </c>
      <c r="I162" s="2"/>
      <c r="J162" s="7">
        <f t="shared" si="46"/>
        <v>1.4828547622215275E-2</v>
      </c>
      <c r="K162" s="2"/>
      <c r="L162" s="6">
        <f t="shared" si="47"/>
        <v>-41128</v>
      </c>
      <c r="M162" s="2"/>
      <c r="N162" s="7">
        <f t="shared" si="48"/>
        <v>-1</v>
      </c>
      <c r="O162" s="11"/>
      <c r="P162" s="6"/>
      <c r="Q162" s="2"/>
      <c r="R162" s="7">
        <f t="shared" si="49"/>
        <v>0</v>
      </c>
      <c r="S162" s="2"/>
      <c r="T162" s="6">
        <v>65948</v>
      </c>
      <c r="U162" s="2"/>
      <c r="V162" s="7">
        <f t="shared" si="50"/>
        <v>1.9038512947447492E-2</v>
      </c>
      <c r="W162" s="2"/>
      <c r="X162" s="6">
        <f t="shared" si="51"/>
        <v>-65948</v>
      </c>
      <c r="Y162" s="2"/>
      <c r="Z162" s="7">
        <f t="shared" si="52"/>
        <v>-1</v>
      </c>
    </row>
    <row r="163" spans="1:26" s="29" customFormat="1" outlineLevel="1" collapsed="1" x14ac:dyDescent="0.25">
      <c r="A163" s="28"/>
      <c r="B163" s="14" t="str">
        <f>CONCATENATE("     ","Donations                                         ")</f>
        <v xml:space="preserve">     Donations                                         </v>
      </c>
      <c r="C163" s="14"/>
      <c r="D163" s="1">
        <f>SUM(OSRRefD22_7x_0)</f>
        <v>2222.02</v>
      </c>
      <c r="E163" s="1"/>
      <c r="F163" s="5">
        <f t="shared" si="45"/>
        <v>1.00498769274293E-3</v>
      </c>
      <c r="G163" s="1"/>
      <c r="H163" s="1">
        <f>SUM(OSRRefH22_7x_0)</f>
        <v>11773</v>
      </c>
      <c r="I163" s="1"/>
      <c r="J163" s="5">
        <f t="shared" si="46"/>
        <v>4.2447114169505071E-3</v>
      </c>
      <c r="K163" s="1"/>
      <c r="L163" s="1">
        <f t="shared" si="47"/>
        <v>-9550.98</v>
      </c>
      <c r="M163" s="1"/>
      <c r="N163" s="5">
        <f t="shared" si="48"/>
        <v>-0.81126136074067778</v>
      </c>
      <c r="O163" s="14"/>
      <c r="P163" s="1">
        <f>SUM(OSRRefP22_7x_0)</f>
        <v>2222.02</v>
      </c>
      <c r="Q163" s="1"/>
      <c r="R163" s="5">
        <f t="shared" si="49"/>
        <v>8.266749764983852E-4</v>
      </c>
      <c r="S163" s="1"/>
      <c r="T163" s="1">
        <f>SUM(OSRRefT22_7x_0)</f>
        <v>12773</v>
      </c>
      <c r="U163" s="1"/>
      <c r="V163" s="5">
        <f t="shared" si="50"/>
        <v>3.6874344313360041E-3</v>
      </c>
      <c r="W163" s="1"/>
      <c r="X163" s="1">
        <f t="shared" si="51"/>
        <v>-10550.98</v>
      </c>
      <c r="Y163" s="1"/>
      <c r="Z163" s="5">
        <f t="shared" si="52"/>
        <v>-0.8260377358490566</v>
      </c>
    </row>
    <row r="164" spans="1:26" s="24" customFormat="1" hidden="1" outlineLevel="2" x14ac:dyDescent="0.25">
      <c r="A164" s="27"/>
      <c r="B164" s="11" t="str">
        <f>CONCATENATE("          ", "6395", " - ", "DONATION-OFF CAMPUS")</f>
        <v xml:space="preserve">          6395 - DONATION-OFF CAMPUS</v>
      </c>
      <c r="C164" s="11"/>
      <c r="D164" s="6"/>
      <c r="E164" s="2"/>
      <c r="F164" s="7">
        <f t="shared" si="45"/>
        <v>0</v>
      </c>
      <c r="G164" s="2"/>
      <c r="H164" s="6"/>
      <c r="I164" s="2"/>
      <c r="J164" s="7">
        <f t="shared" si="46"/>
        <v>0</v>
      </c>
      <c r="K164" s="2"/>
      <c r="L164" s="6">
        <f t="shared" si="47"/>
        <v>0</v>
      </c>
      <c r="M164" s="2"/>
      <c r="N164" s="7">
        <f t="shared" si="48"/>
        <v>0</v>
      </c>
      <c r="O164" s="11"/>
      <c r="P164" s="6"/>
      <c r="Q164" s="2"/>
      <c r="R164" s="7">
        <f t="shared" si="49"/>
        <v>0</v>
      </c>
      <c r="S164" s="2"/>
      <c r="T164" s="6">
        <v>0</v>
      </c>
      <c r="U164" s="2"/>
      <c r="V164" s="7">
        <f t="shared" si="50"/>
        <v>0</v>
      </c>
      <c r="W164" s="2"/>
      <c r="X164" s="6">
        <f t="shared" si="51"/>
        <v>0</v>
      </c>
      <c r="Y164" s="2"/>
      <c r="Z164" s="7">
        <f t="shared" si="52"/>
        <v>0</v>
      </c>
    </row>
    <row r="165" spans="1:26" s="24" customFormat="1" hidden="1" outlineLevel="2" x14ac:dyDescent="0.25">
      <c r="A165" s="27"/>
      <c r="B165" s="11" t="str">
        <f>CONCATENATE("          ", "6399", " - ", "DONATION-ON CAMPUS")</f>
        <v xml:space="preserve">          6399 - DONATION-ON CAMPUS</v>
      </c>
      <c r="C165" s="11"/>
      <c r="D165" s="6">
        <v>2222.02</v>
      </c>
      <c r="E165" s="2"/>
      <c r="F165" s="7">
        <f t="shared" si="45"/>
        <v>1.00498769274293E-3</v>
      </c>
      <c r="G165" s="2"/>
      <c r="H165" s="6">
        <v>11773</v>
      </c>
      <c r="I165" s="2"/>
      <c r="J165" s="7">
        <f t="shared" si="46"/>
        <v>4.2447114169505071E-3</v>
      </c>
      <c r="K165" s="2"/>
      <c r="L165" s="6">
        <f t="shared" si="47"/>
        <v>-9550.98</v>
      </c>
      <c r="M165" s="2"/>
      <c r="N165" s="7">
        <f t="shared" si="48"/>
        <v>-0.81126136074067778</v>
      </c>
      <c r="O165" s="11"/>
      <c r="P165" s="6">
        <v>2222.02</v>
      </c>
      <c r="Q165" s="2"/>
      <c r="R165" s="7">
        <f t="shared" si="49"/>
        <v>8.266749764983852E-4</v>
      </c>
      <c r="S165" s="2"/>
      <c r="T165" s="6">
        <v>12773</v>
      </c>
      <c r="U165" s="2"/>
      <c r="V165" s="7">
        <f t="shared" si="50"/>
        <v>3.6874344313360041E-3</v>
      </c>
      <c r="W165" s="2"/>
      <c r="X165" s="6">
        <f t="shared" si="51"/>
        <v>-10550.98</v>
      </c>
      <c r="Y165" s="2"/>
      <c r="Z165" s="7">
        <f t="shared" si="52"/>
        <v>-0.8260377358490566</v>
      </c>
    </row>
    <row r="166" spans="1:26" s="29" customFormat="1" outlineLevel="1" collapsed="1" x14ac:dyDescent="0.25">
      <c r="A166" s="28"/>
      <c r="B166" s="14" t="str">
        <f>CONCATENATE("     ","Employees' Appreciation                           ")</f>
        <v xml:space="preserve">     Employees' Appreciation                           </v>
      </c>
      <c r="C166" s="14"/>
      <c r="D166" s="1">
        <f>SUM(OSRRefD22_8x_0)</f>
        <v>0</v>
      </c>
      <c r="E166" s="1"/>
      <c r="F166" s="5">
        <f t="shared" ref="F166:F172" si="53">IF(D$12=0,0,D166/D$12)</f>
        <v>0</v>
      </c>
      <c r="G166" s="1"/>
      <c r="H166" s="1">
        <f>SUM(OSRRefH22_8x_0)</f>
        <v>765</v>
      </c>
      <c r="I166" s="1"/>
      <c r="J166" s="5">
        <f t="shared" ref="J166:J172" si="54">IF(H$12=0,0,H166/H$12)</f>
        <v>2.7581790826188208E-4</v>
      </c>
      <c r="K166" s="1"/>
      <c r="L166" s="1">
        <f t="shared" ref="L166:L172" si="55">+D166-H166</f>
        <v>-765</v>
      </c>
      <c r="M166" s="1"/>
      <c r="N166" s="5">
        <f t="shared" ref="N166:N172" si="56">IF(H166=0,0,L166/H166)</f>
        <v>-1</v>
      </c>
      <c r="O166" s="14"/>
      <c r="P166" s="1">
        <f>SUM(OSRRefP22_8x_0)</f>
        <v>107.7</v>
      </c>
      <c r="Q166" s="1"/>
      <c r="R166" s="5">
        <f t="shared" ref="R166:R172" si="57">IF(P$12=0,0,P166/P$12)</f>
        <v>4.0068448964850042E-5</v>
      </c>
      <c r="S166" s="1"/>
      <c r="T166" s="1">
        <f>SUM(OSRRefT22_8x_0)</f>
        <v>1330</v>
      </c>
      <c r="U166" s="1"/>
      <c r="V166" s="5">
        <f t="shared" ref="V166:V172" si="58">IF(T$12=0,0,T166/T$12)</f>
        <v>3.8395739400899441E-4</v>
      </c>
      <c r="W166" s="1"/>
      <c r="X166" s="1">
        <f t="shared" ref="X166:X172" si="59">+P166-T166</f>
        <v>-1222.3</v>
      </c>
      <c r="Y166" s="1"/>
      <c r="Z166" s="5">
        <f t="shared" ref="Z166:Z172" si="60">IF(T166=0,0,X166/T166)</f>
        <v>-0.91902255639097741</v>
      </c>
    </row>
    <row r="167" spans="1:26" s="24" customFormat="1" hidden="1" outlineLevel="2" x14ac:dyDescent="0.25">
      <c r="A167" s="27"/>
      <c r="B167" s="11" t="str">
        <f>CONCATENATE("          ", "6277", " - ", "EMPLOYEE APPRECIATION")</f>
        <v xml:space="preserve">          6277 - EMPLOYEE APPRECIATION</v>
      </c>
      <c r="C167" s="11"/>
      <c r="D167" s="6"/>
      <c r="E167" s="2"/>
      <c r="F167" s="7">
        <f t="shared" si="53"/>
        <v>0</v>
      </c>
      <c r="G167" s="2"/>
      <c r="H167" s="6">
        <v>765</v>
      </c>
      <c r="I167" s="2"/>
      <c r="J167" s="7">
        <f t="shared" si="54"/>
        <v>2.7581790826188208E-4</v>
      </c>
      <c r="K167" s="2"/>
      <c r="L167" s="6">
        <f t="shared" si="55"/>
        <v>-765</v>
      </c>
      <c r="M167" s="2"/>
      <c r="N167" s="7">
        <f t="shared" si="56"/>
        <v>-1</v>
      </c>
      <c r="O167" s="11"/>
      <c r="P167" s="6">
        <v>107.7</v>
      </c>
      <c r="Q167" s="2"/>
      <c r="R167" s="7">
        <f t="shared" si="57"/>
        <v>4.0068448964850042E-5</v>
      </c>
      <c r="S167" s="2"/>
      <c r="T167" s="6">
        <v>1330</v>
      </c>
      <c r="U167" s="2"/>
      <c r="V167" s="7">
        <f t="shared" si="58"/>
        <v>3.8395739400899441E-4</v>
      </c>
      <c r="W167" s="2"/>
      <c r="X167" s="6">
        <f t="shared" si="59"/>
        <v>-1222.3</v>
      </c>
      <c r="Y167" s="2"/>
      <c r="Z167" s="7">
        <f t="shared" si="60"/>
        <v>-0.91902255639097741</v>
      </c>
    </row>
    <row r="168" spans="1:26" s="29" customFormat="1" outlineLevel="1" collapsed="1" x14ac:dyDescent="0.25">
      <c r="A168" s="28"/>
      <c r="B168" s="14" t="str">
        <f>CONCATENATE("     ","Equipment Rental                                  ")</f>
        <v xml:space="preserve">     Equipment Rental                                  </v>
      </c>
      <c r="C168" s="14"/>
      <c r="D168" s="1">
        <f>SUM(OSRRefD22_9x_0)</f>
        <v>2227.17</v>
      </c>
      <c r="E168" s="1"/>
      <c r="F168" s="5">
        <f t="shared" si="53"/>
        <v>1.0073169636845175E-3</v>
      </c>
      <c r="G168" s="1"/>
      <c r="H168" s="1">
        <f>SUM(OSRRefH22_9x_0)</f>
        <v>4050.3333333333326</v>
      </c>
      <c r="I168" s="1"/>
      <c r="J168" s="5">
        <f t="shared" si="54"/>
        <v>1.4603326375991846E-3</v>
      </c>
      <c r="K168" s="1"/>
      <c r="L168" s="1">
        <f t="shared" si="55"/>
        <v>-1823.1633333333325</v>
      </c>
      <c r="M168" s="1"/>
      <c r="N168" s="5">
        <f t="shared" si="56"/>
        <v>-0.45012673854003776</v>
      </c>
      <c r="O168" s="14"/>
      <c r="P168" s="1">
        <f>SUM(OSRRefP22_9x_0)</f>
        <v>4865.83</v>
      </c>
      <c r="Q168" s="1"/>
      <c r="R168" s="5">
        <f t="shared" si="57"/>
        <v>1.8102716901266134E-3</v>
      </c>
      <c r="S168" s="1"/>
      <c r="T168" s="1">
        <f>SUM(OSRRefT22_9x_0)</f>
        <v>8100.6666666666652</v>
      </c>
      <c r="U168" s="1"/>
      <c r="V168" s="5">
        <f t="shared" si="58"/>
        <v>2.3385795962923761E-3</v>
      </c>
      <c r="W168" s="1"/>
      <c r="X168" s="1">
        <f t="shared" si="59"/>
        <v>-3234.8366666666652</v>
      </c>
      <c r="Y168" s="1"/>
      <c r="Z168" s="5">
        <f t="shared" si="60"/>
        <v>-0.39932968479960484</v>
      </c>
    </row>
    <row r="169" spans="1:26" s="24" customFormat="1" hidden="1" outlineLevel="2" x14ac:dyDescent="0.25">
      <c r="A169" s="27"/>
      <c r="B169" s="11" t="str">
        <f>CONCATENATE("          ", "6351", " - ", "EQUIPMENT RENTAL")</f>
        <v xml:space="preserve">          6351 - EQUIPMENT RENTAL</v>
      </c>
      <c r="C169" s="11"/>
      <c r="D169" s="6">
        <v>2227.17</v>
      </c>
      <c r="E169" s="2"/>
      <c r="F169" s="7">
        <f t="shared" si="53"/>
        <v>1.0073169636845175E-3</v>
      </c>
      <c r="G169" s="2"/>
      <c r="H169" s="6">
        <v>4050.3333333333326</v>
      </c>
      <c r="I169" s="2"/>
      <c r="J169" s="7">
        <f t="shared" si="54"/>
        <v>1.4603326375991846E-3</v>
      </c>
      <c r="K169" s="2"/>
      <c r="L169" s="6">
        <f t="shared" si="55"/>
        <v>-1823.1633333333325</v>
      </c>
      <c r="M169" s="2"/>
      <c r="N169" s="7">
        <f t="shared" si="56"/>
        <v>-0.45012673854003776</v>
      </c>
      <c r="O169" s="11"/>
      <c r="P169" s="6">
        <v>4865.83</v>
      </c>
      <c r="Q169" s="2"/>
      <c r="R169" s="7">
        <f t="shared" si="57"/>
        <v>1.8102716901266134E-3</v>
      </c>
      <c r="S169" s="2"/>
      <c r="T169" s="6">
        <v>8100.6666666666652</v>
      </c>
      <c r="U169" s="2"/>
      <c r="V169" s="7">
        <f t="shared" si="58"/>
        <v>2.3385795962923761E-3</v>
      </c>
      <c r="W169" s="2"/>
      <c r="X169" s="6">
        <f t="shared" si="59"/>
        <v>-3234.8366666666652</v>
      </c>
      <c r="Y169" s="2"/>
      <c r="Z169" s="7">
        <f t="shared" si="60"/>
        <v>-0.39932968479960484</v>
      </c>
    </row>
    <row r="170" spans="1:26" s="29" customFormat="1" outlineLevel="1" collapsed="1" x14ac:dyDescent="0.25">
      <c r="A170" s="28"/>
      <c r="B170" s="14" t="str">
        <f>CONCATENATE("     ","Freight out/Postage                               ")</f>
        <v xml:space="preserve">     Freight out/Postage                               </v>
      </c>
      <c r="C170" s="14"/>
      <c r="D170" s="1">
        <f>SUM(OSRRefD22_10x_0)</f>
        <v>-83557.150000000009</v>
      </c>
      <c r="E170" s="1"/>
      <c r="F170" s="5">
        <f t="shared" si="53"/>
        <v>-3.7791697370264409E-2</v>
      </c>
      <c r="G170" s="1"/>
      <c r="H170" s="1">
        <f>SUM(OSRRefH22_10x_0)</f>
        <v>11160</v>
      </c>
      <c r="I170" s="1"/>
      <c r="J170" s="5">
        <f t="shared" si="54"/>
        <v>4.0236965440556913E-3</v>
      </c>
      <c r="K170" s="1"/>
      <c r="L170" s="1">
        <f t="shared" si="55"/>
        <v>-94717.150000000009</v>
      </c>
      <c r="M170" s="1"/>
      <c r="N170" s="5">
        <f t="shared" si="56"/>
        <v>-8.4871998207885309</v>
      </c>
      <c r="O170" s="14"/>
      <c r="P170" s="1">
        <f>SUM(OSRRefP22_10x_0)</f>
        <v>-74617.889999999985</v>
      </c>
      <c r="Q170" s="1"/>
      <c r="R170" s="5">
        <f t="shared" si="57"/>
        <v>-2.7760660328038936E-2</v>
      </c>
      <c r="S170" s="1"/>
      <c r="T170" s="1">
        <f>SUM(OSRRefT22_10x_0)</f>
        <v>16205</v>
      </c>
      <c r="U170" s="1"/>
      <c r="V170" s="5">
        <f t="shared" si="58"/>
        <v>4.6782177217411687E-3</v>
      </c>
      <c r="W170" s="1"/>
      <c r="X170" s="1">
        <f t="shared" si="59"/>
        <v>-90822.889999999985</v>
      </c>
      <c r="Y170" s="1"/>
      <c r="Z170" s="5">
        <f t="shared" si="60"/>
        <v>-5.6046214131440903</v>
      </c>
    </row>
    <row r="171" spans="1:26" s="24" customFormat="1" hidden="1" outlineLevel="2" x14ac:dyDescent="0.25">
      <c r="A171" s="27"/>
      <c r="B171" s="11" t="str">
        <f>CONCATENATE("          ", "6305", " - ", "FREIGHT OUT")</f>
        <v xml:space="preserve">          6305 - FREIGHT OUT</v>
      </c>
      <c r="C171" s="11"/>
      <c r="D171" s="6">
        <v>8420.09</v>
      </c>
      <c r="E171" s="2"/>
      <c r="F171" s="7">
        <f t="shared" si="53"/>
        <v>3.8082856237962835E-3</v>
      </c>
      <c r="G171" s="2"/>
      <c r="H171" s="6">
        <v>3630</v>
      </c>
      <c r="I171" s="2"/>
      <c r="J171" s="7">
        <f t="shared" si="54"/>
        <v>1.3087830156740287E-3</v>
      </c>
      <c r="K171" s="2"/>
      <c r="L171" s="6">
        <f t="shared" si="55"/>
        <v>4790.09</v>
      </c>
      <c r="M171" s="2"/>
      <c r="N171" s="7">
        <f t="shared" si="56"/>
        <v>1.3195840220385675</v>
      </c>
      <c r="O171" s="11"/>
      <c r="P171" s="6">
        <v>20514.79</v>
      </c>
      <c r="Q171" s="2"/>
      <c r="R171" s="7">
        <f t="shared" si="57"/>
        <v>7.6322731303585514E-3</v>
      </c>
      <c r="S171" s="2"/>
      <c r="T171" s="6">
        <v>5145</v>
      </c>
      <c r="U171" s="2"/>
      <c r="V171" s="7">
        <f t="shared" si="58"/>
        <v>1.4853088662979521E-3</v>
      </c>
      <c r="W171" s="2"/>
      <c r="X171" s="6">
        <f t="shared" si="59"/>
        <v>15369.79</v>
      </c>
      <c r="Y171" s="2"/>
      <c r="Z171" s="7">
        <f t="shared" si="60"/>
        <v>2.9873255587949465</v>
      </c>
    </row>
    <row r="172" spans="1:26" s="24" customFormat="1" hidden="1" outlineLevel="2" x14ac:dyDescent="0.25">
      <c r="A172" s="27"/>
      <c r="B172" s="11" t="str">
        <f>CONCATENATE("          ", "6307", " - ", "POSTAGE")</f>
        <v xml:space="preserve">          6307 - POSTAGE</v>
      </c>
      <c r="C172" s="11"/>
      <c r="D172" s="6">
        <v>-91977.24</v>
      </c>
      <c r="E172" s="2"/>
      <c r="F172" s="7">
        <f t="shared" si="53"/>
        <v>-4.1599982994060689E-2</v>
      </c>
      <c r="G172" s="2"/>
      <c r="H172" s="6">
        <v>7530</v>
      </c>
      <c r="I172" s="2"/>
      <c r="J172" s="7">
        <f t="shared" si="54"/>
        <v>2.7149135283816629E-3</v>
      </c>
      <c r="K172" s="2"/>
      <c r="L172" s="6">
        <f t="shared" si="55"/>
        <v>-99507.24</v>
      </c>
      <c r="M172" s="2"/>
      <c r="N172" s="7">
        <f t="shared" si="56"/>
        <v>-13.214772908366534</v>
      </c>
      <c r="O172" s="11"/>
      <c r="P172" s="6">
        <v>-95132.68</v>
      </c>
      <c r="Q172" s="2"/>
      <c r="R172" s="7">
        <f t="shared" si="57"/>
        <v>-3.5392933458397488E-2</v>
      </c>
      <c r="S172" s="2"/>
      <c r="T172" s="6">
        <v>11060</v>
      </c>
      <c r="U172" s="2"/>
      <c r="V172" s="7">
        <f t="shared" si="58"/>
        <v>3.1929088554432166E-3</v>
      </c>
      <c r="W172" s="2"/>
      <c r="X172" s="6">
        <f t="shared" si="59"/>
        <v>-106192.68</v>
      </c>
      <c r="Y172" s="2"/>
      <c r="Z172" s="7">
        <f t="shared" si="60"/>
        <v>-9.6015081374321873</v>
      </c>
    </row>
    <row r="173" spans="1:26" s="29" customFormat="1" outlineLevel="1" collapsed="1" x14ac:dyDescent="0.25">
      <c r="A173" s="28"/>
      <c r="B173" s="14" t="str">
        <f>CONCATENATE("     ","General                                           ")</f>
        <v xml:space="preserve">     General                                           </v>
      </c>
      <c r="C173" s="14"/>
      <c r="D173" s="1">
        <f>SUM(OSRRefD22_11x_0)</f>
        <v>-913.36</v>
      </c>
      <c r="E173" s="1"/>
      <c r="F173" s="5">
        <f t="shared" ref="F173:F176" si="61">IF(D$12=0,0,D173/D$12)</f>
        <v>-4.1309959363267773E-4</v>
      </c>
      <c r="G173" s="1"/>
      <c r="H173" s="1">
        <f>SUM(OSRRefH22_11x_0)</f>
        <v>1135</v>
      </c>
      <c r="I173" s="1"/>
      <c r="J173" s="5">
        <f t="shared" ref="J173:J176" si="62">IF(H$12=0,0,H173/H$12)</f>
        <v>4.0922003382645251E-4</v>
      </c>
      <c r="K173" s="1"/>
      <c r="L173" s="1">
        <f t="shared" ref="L173:L176" si="63">+D173-H173</f>
        <v>-2048.36</v>
      </c>
      <c r="M173" s="1"/>
      <c r="N173" s="5">
        <f t="shared" ref="N173:N176" si="64">IF(H173=0,0,L173/H173)</f>
        <v>-1.8047224669603525</v>
      </c>
      <c r="O173" s="14"/>
      <c r="P173" s="1">
        <f>SUM(OSRRefP22_11x_0)</f>
        <v>7867.35</v>
      </c>
      <c r="Q173" s="1"/>
      <c r="R173" s="5">
        <f t="shared" ref="R173:R176" si="65">IF(P$12=0,0,P173/P$12)</f>
        <v>2.9269499718069911E-3</v>
      </c>
      <c r="S173" s="1"/>
      <c r="T173" s="1">
        <f>SUM(OSRRefT22_11x_0)</f>
        <v>15220</v>
      </c>
      <c r="U173" s="1"/>
      <c r="V173" s="5">
        <f t="shared" ref="V173:V176" si="66">IF(T$12=0,0,T173/T$12)</f>
        <v>4.3938582983585675E-3</v>
      </c>
      <c r="W173" s="1"/>
      <c r="X173" s="1">
        <f t="shared" ref="X173:X176" si="67">+P173-T173</f>
        <v>-7352.65</v>
      </c>
      <c r="Y173" s="1"/>
      <c r="Z173" s="5">
        <f t="shared" ref="Z173:Z176" si="68">IF(T173=0,0,X173/T173)</f>
        <v>-0.48309132720105125</v>
      </c>
    </row>
    <row r="174" spans="1:26" s="24" customFormat="1" hidden="1" outlineLevel="2" x14ac:dyDescent="0.25">
      <c r="A174" s="27"/>
      <c r="B174" s="11" t="str">
        <f>CONCATENATE("          ", "6269", " - ", "ENTERTAINMENT")</f>
        <v xml:space="preserve">          6269 - ENTERTAINMENT</v>
      </c>
      <c r="C174" s="11"/>
      <c r="D174" s="6"/>
      <c r="E174" s="2"/>
      <c r="F174" s="7">
        <f t="shared" si="61"/>
        <v>0</v>
      </c>
      <c r="G174" s="2"/>
      <c r="H174" s="6">
        <v>125</v>
      </c>
      <c r="I174" s="2"/>
      <c r="J174" s="7">
        <f t="shared" si="62"/>
        <v>4.5068285663706221E-5</v>
      </c>
      <c r="K174" s="2"/>
      <c r="L174" s="6">
        <f t="shared" si="63"/>
        <v>-125</v>
      </c>
      <c r="M174" s="2"/>
      <c r="N174" s="7">
        <f t="shared" si="64"/>
        <v>-1</v>
      </c>
      <c r="O174" s="11"/>
      <c r="P174" s="6"/>
      <c r="Q174" s="2"/>
      <c r="R174" s="7">
        <f t="shared" si="65"/>
        <v>0</v>
      </c>
      <c r="S174" s="2"/>
      <c r="T174" s="6">
        <v>125</v>
      </c>
      <c r="U174" s="2"/>
      <c r="V174" s="7">
        <f t="shared" si="66"/>
        <v>3.6086221241446841E-5</v>
      </c>
      <c r="W174" s="2"/>
      <c r="X174" s="6">
        <f t="shared" si="67"/>
        <v>-125</v>
      </c>
      <c r="Y174" s="2"/>
      <c r="Z174" s="7">
        <f t="shared" si="68"/>
        <v>-1</v>
      </c>
    </row>
    <row r="175" spans="1:26" s="24" customFormat="1" hidden="1" outlineLevel="2" x14ac:dyDescent="0.25">
      <c r="A175" s="27"/>
      <c r="B175" s="11" t="str">
        <f>CONCATENATE("          ", "6276", " - ", "PROPERTY TAX")</f>
        <v xml:space="preserve">          6276 - PROPERTY TAX</v>
      </c>
      <c r="C175" s="11"/>
      <c r="D175" s="6"/>
      <c r="E175" s="2"/>
      <c r="F175" s="7">
        <f t="shared" si="61"/>
        <v>0</v>
      </c>
      <c r="G175" s="2"/>
      <c r="H175" s="6"/>
      <c r="I175" s="2"/>
      <c r="J175" s="7">
        <f t="shared" si="62"/>
        <v>0</v>
      </c>
      <c r="K175" s="2"/>
      <c r="L175" s="6">
        <f t="shared" si="63"/>
        <v>0</v>
      </c>
      <c r="M175" s="2"/>
      <c r="N175" s="7">
        <f t="shared" si="64"/>
        <v>0</v>
      </c>
      <c r="O175" s="11"/>
      <c r="P175" s="6"/>
      <c r="Q175" s="2"/>
      <c r="R175" s="7">
        <f t="shared" si="65"/>
        <v>0</v>
      </c>
      <c r="S175" s="2"/>
      <c r="T175" s="6">
        <v>150</v>
      </c>
      <c r="U175" s="2"/>
      <c r="V175" s="7">
        <f t="shared" si="66"/>
        <v>4.3303465489736216E-5</v>
      </c>
      <c r="W175" s="2"/>
      <c r="X175" s="6">
        <f t="shared" si="67"/>
        <v>-150</v>
      </c>
      <c r="Y175" s="2"/>
      <c r="Z175" s="7">
        <f t="shared" si="68"/>
        <v>-1</v>
      </c>
    </row>
    <row r="176" spans="1:26" s="24" customFormat="1" hidden="1" outlineLevel="2" x14ac:dyDescent="0.25">
      <c r="A176" s="27"/>
      <c r="B176" s="11" t="str">
        <f>CONCATENATE("          ", "6279", " - ", "GENERAL EXPENSE")</f>
        <v xml:space="preserve">          6279 - GENERAL EXPENSE</v>
      </c>
      <c r="C176" s="11"/>
      <c r="D176" s="6">
        <v>-913.36</v>
      </c>
      <c r="E176" s="2"/>
      <c r="F176" s="7">
        <f t="shared" si="61"/>
        <v>-4.1309959363267773E-4</v>
      </c>
      <c r="G176" s="2"/>
      <c r="H176" s="6">
        <v>1010</v>
      </c>
      <c r="I176" s="2"/>
      <c r="J176" s="7">
        <f t="shared" si="62"/>
        <v>3.6415174816274628E-4</v>
      </c>
      <c r="K176" s="2"/>
      <c r="L176" s="6">
        <f t="shared" si="63"/>
        <v>-1923.3600000000001</v>
      </c>
      <c r="M176" s="2"/>
      <c r="N176" s="7">
        <f t="shared" si="64"/>
        <v>-1.9043168316831685</v>
      </c>
      <c r="O176" s="11"/>
      <c r="P176" s="6">
        <v>7867.35</v>
      </c>
      <c r="Q176" s="2"/>
      <c r="R176" s="7">
        <f t="shared" si="65"/>
        <v>2.9269499718069911E-3</v>
      </c>
      <c r="S176" s="2"/>
      <c r="T176" s="6">
        <v>14945</v>
      </c>
      <c r="U176" s="2"/>
      <c r="V176" s="7">
        <f t="shared" si="66"/>
        <v>4.3144686116273843E-3</v>
      </c>
      <c r="W176" s="2"/>
      <c r="X176" s="6">
        <f t="shared" si="67"/>
        <v>-7077.65</v>
      </c>
      <c r="Y176" s="2"/>
      <c r="Z176" s="7">
        <f t="shared" si="68"/>
        <v>-0.47357979257276678</v>
      </c>
    </row>
    <row r="177" spans="1:26" s="29" customFormat="1" outlineLevel="1" collapsed="1" x14ac:dyDescent="0.25">
      <c r="A177" s="28"/>
      <c r="B177" s="14" t="str">
        <f>CONCATENATE("     ","Insurance                                         ")</f>
        <v xml:space="preserve">     Insurance                                         </v>
      </c>
      <c r="C177" s="14"/>
      <c r="D177" s="1">
        <f>SUM(OSRRefD22_12x_0)</f>
        <v>8563.32</v>
      </c>
      <c r="E177" s="1"/>
      <c r="F177" s="5">
        <f t="shared" ref="F177:F193" si="69">IF(D$12=0,0,D177/D$12)</f>
        <v>3.8730664931095971E-3</v>
      </c>
      <c r="G177" s="1"/>
      <c r="H177" s="1">
        <f>SUM(OSRRefH22_12x_0)</f>
        <v>9321</v>
      </c>
      <c r="I177" s="1"/>
      <c r="J177" s="5">
        <f t="shared" ref="J177:J193" si="70">IF(H$12=0,0,H177/H$12)</f>
        <v>3.3606519253712454E-3</v>
      </c>
      <c r="K177" s="1"/>
      <c r="L177" s="1">
        <f t="shared" ref="L177:L193" si="71">+D177-H177</f>
        <v>-757.68000000000029</v>
      </c>
      <c r="M177" s="1"/>
      <c r="N177" s="5">
        <f t="shared" ref="N177:N193" si="72">IF(H177=0,0,L177/H177)</f>
        <v>-8.128741551335697E-2</v>
      </c>
      <c r="O177" s="14"/>
      <c r="P177" s="1">
        <f>SUM(OSRRefP22_12x_0)</f>
        <v>17126.64</v>
      </c>
      <c r="Q177" s="1"/>
      <c r="R177" s="5">
        <f t="shared" ref="R177:R193" si="73">IF(P$12=0,0,P177/P$12)</f>
        <v>6.3717539533830938E-3</v>
      </c>
      <c r="S177" s="1"/>
      <c r="T177" s="1">
        <f>SUM(OSRRefT22_12x_0)</f>
        <v>18642</v>
      </c>
      <c r="U177" s="1"/>
      <c r="V177" s="5">
        <f t="shared" ref="V177:V193" si="74">IF(T$12=0,0,T177/T$12)</f>
        <v>5.3817546910644165E-3</v>
      </c>
      <c r="W177" s="1"/>
      <c r="X177" s="1">
        <f t="shared" ref="X177:X193" si="75">+P177-T177</f>
        <v>-1515.3600000000006</v>
      </c>
      <c r="Y177" s="1"/>
      <c r="Z177" s="5">
        <f t="shared" ref="Z177:Z193" si="76">IF(T177=0,0,X177/T177)</f>
        <v>-8.128741551335697E-2</v>
      </c>
    </row>
    <row r="178" spans="1:26" s="24" customFormat="1" hidden="1" outlineLevel="2" x14ac:dyDescent="0.25">
      <c r="A178" s="27"/>
      <c r="B178" s="11" t="str">
        <f>CONCATENATE("          ", "6314", " - ", "LIABILITY INSURANCE")</f>
        <v xml:space="preserve">          6314 - LIABILITY INSURANCE</v>
      </c>
      <c r="C178" s="11"/>
      <c r="D178" s="6">
        <v>8563.32</v>
      </c>
      <c r="E178" s="2"/>
      <c r="F178" s="7">
        <f t="shared" si="69"/>
        <v>3.8730664931095971E-3</v>
      </c>
      <c r="G178" s="2"/>
      <c r="H178" s="6">
        <v>9321</v>
      </c>
      <c r="I178" s="2"/>
      <c r="J178" s="7">
        <f t="shared" si="70"/>
        <v>3.3606519253712454E-3</v>
      </c>
      <c r="K178" s="2"/>
      <c r="L178" s="6">
        <f t="shared" si="71"/>
        <v>-757.68000000000029</v>
      </c>
      <c r="M178" s="2"/>
      <c r="N178" s="7">
        <f t="shared" si="72"/>
        <v>-8.128741551335697E-2</v>
      </c>
      <c r="O178" s="11"/>
      <c r="P178" s="6">
        <v>17126.64</v>
      </c>
      <c r="Q178" s="2"/>
      <c r="R178" s="7">
        <f t="shared" si="73"/>
        <v>6.3717539533830938E-3</v>
      </c>
      <c r="S178" s="2"/>
      <c r="T178" s="6">
        <v>18642</v>
      </c>
      <c r="U178" s="2"/>
      <c r="V178" s="7">
        <f t="shared" si="74"/>
        <v>5.3817546910644165E-3</v>
      </c>
      <c r="W178" s="2"/>
      <c r="X178" s="6">
        <f t="shared" si="75"/>
        <v>-1515.3600000000006</v>
      </c>
      <c r="Y178" s="2"/>
      <c r="Z178" s="7">
        <f t="shared" si="76"/>
        <v>-8.128741551335697E-2</v>
      </c>
    </row>
    <row r="179" spans="1:26" s="29" customFormat="1" outlineLevel="1" collapsed="1" x14ac:dyDescent="0.25">
      <c r="A179" s="28"/>
      <c r="B179" s="14" t="str">
        <f>CONCATENATE("     ","Interest                                          ")</f>
        <v xml:space="preserve">     Interest                                          </v>
      </c>
      <c r="C179" s="14"/>
      <c r="D179" s="1">
        <f>SUM(OSRRefD22_13x_0)</f>
        <v>11554</v>
      </c>
      <c r="E179" s="1"/>
      <c r="F179" s="5">
        <f t="shared" si="69"/>
        <v>5.2257080503108943E-3</v>
      </c>
      <c r="G179" s="1"/>
      <c r="H179" s="1">
        <f>SUM(OSRRefH22_13x_0)</f>
        <v>11554</v>
      </c>
      <c r="I179" s="1"/>
      <c r="J179" s="5">
        <f t="shared" si="70"/>
        <v>4.1657517804676936E-3</v>
      </c>
      <c r="K179" s="1"/>
      <c r="L179" s="1">
        <f t="shared" si="71"/>
        <v>0</v>
      </c>
      <c r="M179" s="1"/>
      <c r="N179" s="5">
        <f t="shared" si="72"/>
        <v>0</v>
      </c>
      <c r="O179" s="14"/>
      <c r="P179" s="1">
        <f>SUM(OSRRefP22_13x_0)</f>
        <v>23108</v>
      </c>
      <c r="Q179" s="1"/>
      <c r="R179" s="5">
        <f t="shared" si="73"/>
        <v>8.5970447416876018E-3</v>
      </c>
      <c r="S179" s="1"/>
      <c r="T179" s="1">
        <f>SUM(OSRRefT22_13x_0)</f>
        <v>23108</v>
      </c>
      <c r="U179" s="1"/>
      <c r="V179" s="5">
        <f t="shared" si="74"/>
        <v>6.6710432035788289E-3</v>
      </c>
      <c r="W179" s="1"/>
      <c r="X179" s="1">
        <f t="shared" si="75"/>
        <v>0</v>
      </c>
      <c r="Y179" s="1"/>
      <c r="Z179" s="5">
        <f t="shared" si="76"/>
        <v>0</v>
      </c>
    </row>
    <row r="180" spans="1:26" s="24" customFormat="1" hidden="1" outlineLevel="2" x14ac:dyDescent="0.25">
      <c r="A180" s="27"/>
      <c r="B180" s="11" t="str">
        <f>CONCATENATE("          ", "6401", " - ", "INTEREST EXPENSE")</f>
        <v xml:space="preserve">          6401 - INTEREST EXPENSE</v>
      </c>
      <c r="C180" s="11"/>
      <c r="D180" s="6">
        <v>11554</v>
      </c>
      <c r="E180" s="2"/>
      <c r="F180" s="7">
        <f t="shared" si="69"/>
        <v>5.2257080503108943E-3</v>
      </c>
      <c r="G180" s="2"/>
      <c r="H180" s="6">
        <v>11554</v>
      </c>
      <c r="I180" s="2"/>
      <c r="J180" s="7">
        <f t="shared" si="70"/>
        <v>4.1657517804676936E-3</v>
      </c>
      <c r="K180" s="2"/>
      <c r="L180" s="6">
        <f t="shared" si="71"/>
        <v>0</v>
      </c>
      <c r="M180" s="2"/>
      <c r="N180" s="7">
        <f t="shared" si="72"/>
        <v>0</v>
      </c>
      <c r="O180" s="11"/>
      <c r="P180" s="6">
        <v>23108</v>
      </c>
      <c r="Q180" s="2"/>
      <c r="R180" s="7">
        <f t="shared" si="73"/>
        <v>8.5970447416876018E-3</v>
      </c>
      <c r="S180" s="2"/>
      <c r="T180" s="6">
        <v>23108</v>
      </c>
      <c r="U180" s="2"/>
      <c r="V180" s="7">
        <f t="shared" si="74"/>
        <v>6.6710432035788289E-3</v>
      </c>
      <c r="W180" s="2"/>
      <c r="X180" s="6">
        <f t="shared" si="75"/>
        <v>0</v>
      </c>
      <c r="Y180" s="2"/>
      <c r="Z180" s="7">
        <f t="shared" si="76"/>
        <v>0</v>
      </c>
    </row>
    <row r="181" spans="1:26" s="29" customFormat="1" outlineLevel="1" collapsed="1" x14ac:dyDescent="0.25">
      <c r="A181" s="28"/>
      <c r="B181" s="14" t="str">
        <f>CONCATENATE("     ","Inventory Adjustment                              ")</f>
        <v xml:space="preserve">     Inventory Adjustment                              </v>
      </c>
      <c r="C181" s="14"/>
      <c r="D181" s="1">
        <f>SUM(OSRRefD22_14x_0)</f>
        <v>3350</v>
      </c>
      <c r="E181" s="1"/>
      <c r="F181" s="5">
        <f t="shared" si="69"/>
        <v>1.5151568260811405E-3</v>
      </c>
      <c r="G181" s="1"/>
      <c r="H181" s="1">
        <f>SUM(OSRRefH22_14x_0)</f>
        <v>4350</v>
      </c>
      <c r="I181" s="1"/>
      <c r="J181" s="5">
        <f t="shared" si="70"/>
        <v>1.5683763410969764E-3</v>
      </c>
      <c r="K181" s="1"/>
      <c r="L181" s="1">
        <f t="shared" si="71"/>
        <v>-1000</v>
      </c>
      <c r="M181" s="1"/>
      <c r="N181" s="5">
        <f t="shared" si="72"/>
        <v>-0.22988505747126436</v>
      </c>
      <c r="O181" s="14"/>
      <c r="P181" s="1">
        <f>SUM(OSRRefP22_14x_0)</f>
        <v>6700</v>
      </c>
      <c r="Q181" s="1"/>
      <c r="R181" s="5">
        <f t="shared" si="73"/>
        <v>2.4926518854642087E-3</v>
      </c>
      <c r="S181" s="1"/>
      <c r="T181" s="1">
        <f>SUM(OSRRefT22_14x_0)</f>
        <v>8700</v>
      </c>
      <c r="U181" s="1"/>
      <c r="V181" s="5">
        <f t="shared" si="74"/>
        <v>2.5116009984047002E-3</v>
      </c>
      <c r="W181" s="1"/>
      <c r="X181" s="1">
        <f t="shared" si="75"/>
        <v>-2000</v>
      </c>
      <c r="Y181" s="1"/>
      <c r="Z181" s="5">
        <f t="shared" si="76"/>
        <v>-0.22988505747126436</v>
      </c>
    </row>
    <row r="182" spans="1:26" s="24" customFormat="1" hidden="1" outlineLevel="2" x14ac:dyDescent="0.25">
      <c r="A182" s="27"/>
      <c r="B182" s="11" t="str">
        <f>CONCATENATE("          ", "6408", " - ", "INVENTORY ADJUSTMENT")</f>
        <v xml:space="preserve">          6408 - INVENTORY ADJUSTMENT</v>
      </c>
      <c r="C182" s="11"/>
      <c r="D182" s="6">
        <v>3350</v>
      </c>
      <c r="E182" s="2"/>
      <c r="F182" s="7">
        <f t="shared" si="69"/>
        <v>1.5151568260811405E-3</v>
      </c>
      <c r="G182" s="2"/>
      <c r="H182" s="6">
        <v>4350</v>
      </c>
      <c r="I182" s="2"/>
      <c r="J182" s="7">
        <f t="shared" si="70"/>
        <v>1.5683763410969764E-3</v>
      </c>
      <c r="K182" s="2"/>
      <c r="L182" s="6">
        <f t="shared" si="71"/>
        <v>-1000</v>
      </c>
      <c r="M182" s="2"/>
      <c r="N182" s="7">
        <f t="shared" si="72"/>
        <v>-0.22988505747126436</v>
      </c>
      <c r="O182" s="11"/>
      <c r="P182" s="6">
        <v>6700</v>
      </c>
      <c r="Q182" s="2"/>
      <c r="R182" s="7">
        <f t="shared" si="73"/>
        <v>2.4926518854642087E-3</v>
      </c>
      <c r="S182" s="2"/>
      <c r="T182" s="6">
        <v>8700</v>
      </c>
      <c r="U182" s="2"/>
      <c r="V182" s="7">
        <f t="shared" si="74"/>
        <v>2.5116009984047002E-3</v>
      </c>
      <c r="W182" s="2"/>
      <c r="X182" s="6">
        <f t="shared" si="75"/>
        <v>-2000</v>
      </c>
      <c r="Y182" s="2"/>
      <c r="Z182" s="7">
        <f t="shared" si="76"/>
        <v>-0.22988505747126436</v>
      </c>
    </row>
    <row r="183" spans="1:26" s="29" customFormat="1" outlineLevel="1" collapsed="1" x14ac:dyDescent="0.25">
      <c r="A183" s="28"/>
      <c r="B183" s="14" t="str">
        <f>CONCATENATE("     ","Professional Services                             ")</f>
        <v xml:space="preserve">     Professional Services                             </v>
      </c>
      <c r="C183" s="14"/>
      <c r="D183" s="1">
        <f>SUM(OSRRefD22_15x_0)</f>
        <v>0</v>
      </c>
      <c r="E183" s="1"/>
      <c r="F183" s="5">
        <f t="shared" si="69"/>
        <v>0</v>
      </c>
      <c r="G183" s="1"/>
      <c r="H183" s="1">
        <f>SUM(OSRRefH22_15x_0)</f>
        <v>0</v>
      </c>
      <c r="I183" s="1"/>
      <c r="J183" s="5">
        <f t="shared" si="70"/>
        <v>0</v>
      </c>
      <c r="K183" s="1"/>
      <c r="L183" s="1">
        <f t="shared" si="71"/>
        <v>0</v>
      </c>
      <c r="M183" s="1"/>
      <c r="N183" s="5">
        <f t="shared" si="72"/>
        <v>0</v>
      </c>
      <c r="O183" s="14"/>
      <c r="P183" s="1">
        <f>SUM(OSRRefP22_15x_0)</f>
        <v>0</v>
      </c>
      <c r="Q183" s="1"/>
      <c r="R183" s="5">
        <f t="shared" si="73"/>
        <v>0</v>
      </c>
      <c r="S183" s="1"/>
      <c r="T183" s="1">
        <f>SUM(OSRRefT22_15x_0)</f>
        <v>6550</v>
      </c>
      <c r="U183" s="1"/>
      <c r="V183" s="5">
        <f t="shared" si="74"/>
        <v>1.8909179930518146E-3</v>
      </c>
      <c r="W183" s="1"/>
      <c r="X183" s="1">
        <f t="shared" si="75"/>
        <v>-6550</v>
      </c>
      <c r="Y183" s="1"/>
      <c r="Z183" s="5">
        <f t="shared" si="76"/>
        <v>-1</v>
      </c>
    </row>
    <row r="184" spans="1:26" s="24" customFormat="1" hidden="1" outlineLevel="2" x14ac:dyDescent="0.25">
      <c r="A184" s="27"/>
      <c r="B184" s="11" t="str">
        <f>CONCATENATE("          ", "6336", " - ", "PROFESSIONAL SERVICES")</f>
        <v xml:space="preserve">          6336 - PROFESSIONAL SERVICES</v>
      </c>
      <c r="C184" s="11"/>
      <c r="D184" s="6"/>
      <c r="E184" s="2"/>
      <c r="F184" s="7">
        <f t="shared" si="69"/>
        <v>0</v>
      </c>
      <c r="G184" s="2"/>
      <c r="H184" s="6">
        <v>0</v>
      </c>
      <c r="I184" s="2"/>
      <c r="J184" s="7">
        <f t="shared" si="70"/>
        <v>0</v>
      </c>
      <c r="K184" s="2"/>
      <c r="L184" s="6">
        <f t="shared" si="71"/>
        <v>0</v>
      </c>
      <c r="M184" s="2"/>
      <c r="N184" s="7">
        <f t="shared" si="72"/>
        <v>0</v>
      </c>
      <c r="O184" s="11"/>
      <c r="P184" s="6"/>
      <c r="Q184" s="2"/>
      <c r="R184" s="7">
        <f t="shared" si="73"/>
        <v>0</v>
      </c>
      <c r="S184" s="2"/>
      <c r="T184" s="6">
        <v>6550</v>
      </c>
      <c r="U184" s="2"/>
      <c r="V184" s="7">
        <f t="shared" si="74"/>
        <v>1.8909179930518146E-3</v>
      </c>
      <c r="W184" s="2"/>
      <c r="X184" s="6">
        <f t="shared" si="75"/>
        <v>-6550</v>
      </c>
      <c r="Y184" s="2"/>
      <c r="Z184" s="7">
        <f t="shared" si="76"/>
        <v>-1</v>
      </c>
    </row>
    <row r="185" spans="1:26" s="29" customFormat="1" outlineLevel="1" collapsed="1" x14ac:dyDescent="0.25">
      <c r="A185" s="28"/>
      <c r="B185" s="14" t="str">
        <f>CONCATENATE("     ","R/H Commissions                                   ")</f>
        <v xml:space="preserve">     R/H Commissions                                   </v>
      </c>
      <c r="C185" s="14"/>
      <c r="D185" s="1">
        <f>SUM(OSRRefD22_16x_0)</f>
        <v>3533.81</v>
      </c>
      <c r="E185" s="1"/>
      <c r="F185" s="5">
        <f t="shared" si="69"/>
        <v>1.5982914458429237E-3</v>
      </c>
      <c r="G185" s="1"/>
      <c r="H185" s="1">
        <f>SUM(OSRRefH22_16x_0)</f>
        <v>10718</v>
      </c>
      <c r="I185" s="1"/>
      <c r="J185" s="5">
        <f t="shared" si="70"/>
        <v>3.8643350859488262E-3</v>
      </c>
      <c r="K185" s="1"/>
      <c r="L185" s="1">
        <f t="shared" si="71"/>
        <v>-7184.1900000000005</v>
      </c>
      <c r="M185" s="1"/>
      <c r="N185" s="5">
        <f t="shared" si="72"/>
        <v>-0.67029203209554022</v>
      </c>
      <c r="O185" s="14"/>
      <c r="P185" s="1">
        <f>SUM(OSRRefP22_16x_0)</f>
        <v>4685.49</v>
      </c>
      <c r="Q185" s="1"/>
      <c r="R185" s="5">
        <f t="shared" si="73"/>
        <v>1.7431784302721931E-3</v>
      </c>
      <c r="S185" s="1"/>
      <c r="T185" s="1">
        <f>SUM(OSRRefT22_16x_0)</f>
        <v>10718</v>
      </c>
      <c r="U185" s="1"/>
      <c r="V185" s="5">
        <f t="shared" si="74"/>
        <v>3.0941769541266181E-3</v>
      </c>
      <c r="W185" s="1"/>
      <c r="X185" s="1">
        <f t="shared" si="75"/>
        <v>-6032.51</v>
      </c>
      <c r="Y185" s="1"/>
      <c r="Z185" s="5">
        <f t="shared" si="76"/>
        <v>-0.56283914909498045</v>
      </c>
    </row>
    <row r="186" spans="1:26" s="24" customFormat="1" hidden="1" outlineLevel="2" x14ac:dyDescent="0.25">
      <c r="A186" s="27"/>
      <c r="B186" s="11" t="str">
        <f>CONCATENATE("          ", "6387", " - ", "COMMISSION DUE HOUSING")</f>
        <v xml:space="preserve">          6387 - COMMISSION DUE HOUSING</v>
      </c>
      <c r="C186" s="11"/>
      <c r="D186" s="6">
        <v>3533.81</v>
      </c>
      <c r="E186" s="2"/>
      <c r="F186" s="7">
        <f t="shared" si="69"/>
        <v>1.5982914458429237E-3</v>
      </c>
      <c r="G186" s="2"/>
      <c r="H186" s="6">
        <v>10718</v>
      </c>
      <c r="I186" s="2"/>
      <c r="J186" s="7">
        <f t="shared" si="70"/>
        <v>3.8643350859488262E-3</v>
      </c>
      <c r="K186" s="2"/>
      <c r="L186" s="6">
        <f t="shared" si="71"/>
        <v>-7184.1900000000005</v>
      </c>
      <c r="M186" s="2"/>
      <c r="N186" s="7">
        <f t="shared" si="72"/>
        <v>-0.67029203209554022</v>
      </c>
      <c r="O186" s="11"/>
      <c r="P186" s="6">
        <v>4685.49</v>
      </c>
      <c r="Q186" s="2"/>
      <c r="R186" s="7">
        <f t="shared" si="73"/>
        <v>1.7431784302721931E-3</v>
      </c>
      <c r="S186" s="2"/>
      <c r="T186" s="6">
        <v>10718</v>
      </c>
      <c r="U186" s="2"/>
      <c r="V186" s="7">
        <f t="shared" si="74"/>
        <v>3.0941769541266181E-3</v>
      </c>
      <c r="W186" s="2"/>
      <c r="X186" s="6">
        <f t="shared" si="75"/>
        <v>-6032.51</v>
      </c>
      <c r="Y186" s="2"/>
      <c r="Z186" s="7">
        <f t="shared" si="76"/>
        <v>-0.56283914909498045</v>
      </c>
    </row>
    <row r="187" spans="1:26" s="29" customFormat="1" outlineLevel="1" collapsed="1" x14ac:dyDescent="0.25">
      <c r="A187" s="28"/>
      <c r="B187" s="14" t="str">
        <f>CONCATENATE("     ","Rent                                              ")</f>
        <v xml:space="preserve">     Rent                                              </v>
      </c>
      <c r="C187" s="14"/>
      <c r="D187" s="1">
        <f>SUM(OSRRefD22_17x_0)</f>
        <v>6900</v>
      </c>
      <c r="E187" s="1"/>
      <c r="F187" s="5">
        <f t="shared" si="69"/>
        <v>3.1207707761074237E-3</v>
      </c>
      <c r="G187" s="1"/>
      <c r="H187" s="1">
        <f>SUM(OSRRefH22_17x_0)</f>
        <v>8843</v>
      </c>
      <c r="I187" s="1"/>
      <c r="J187" s="5">
        <f t="shared" si="70"/>
        <v>3.1883108009932329E-3</v>
      </c>
      <c r="K187" s="1"/>
      <c r="L187" s="1">
        <f t="shared" si="71"/>
        <v>-1943</v>
      </c>
      <c r="M187" s="1"/>
      <c r="N187" s="5">
        <f t="shared" si="72"/>
        <v>-0.21972181386407327</v>
      </c>
      <c r="O187" s="14"/>
      <c r="P187" s="1">
        <f>SUM(OSRRefP22_17x_0)</f>
        <v>13800</v>
      </c>
      <c r="Q187" s="1"/>
      <c r="R187" s="5">
        <f t="shared" si="73"/>
        <v>5.1341188088665788E-3</v>
      </c>
      <c r="S187" s="1"/>
      <c r="T187" s="1">
        <f>SUM(OSRRefT22_17x_0)</f>
        <v>17686</v>
      </c>
      <c r="U187" s="1"/>
      <c r="V187" s="5">
        <f t="shared" si="74"/>
        <v>5.1057672710098307E-3</v>
      </c>
      <c r="W187" s="1"/>
      <c r="X187" s="1">
        <f t="shared" si="75"/>
        <v>-3886</v>
      </c>
      <c r="Y187" s="1"/>
      <c r="Z187" s="5">
        <f t="shared" si="76"/>
        <v>-0.21972181386407327</v>
      </c>
    </row>
    <row r="188" spans="1:26" s="24" customFormat="1" hidden="1" outlineLevel="2" x14ac:dyDescent="0.25">
      <c r="A188" s="27"/>
      <c r="B188" s="11" t="str">
        <f>CONCATENATE("          ", "6273", " - ", "RENT")</f>
        <v xml:space="preserve">          6273 - RENT</v>
      </c>
      <c r="C188" s="11"/>
      <c r="D188" s="6">
        <v>6900</v>
      </c>
      <c r="E188" s="2"/>
      <c r="F188" s="7">
        <f t="shared" si="69"/>
        <v>3.1207707761074237E-3</v>
      </c>
      <c r="G188" s="2"/>
      <c r="H188" s="6">
        <v>8843</v>
      </c>
      <c r="I188" s="2"/>
      <c r="J188" s="7">
        <f t="shared" si="70"/>
        <v>3.1883108009932329E-3</v>
      </c>
      <c r="K188" s="2"/>
      <c r="L188" s="6">
        <f t="shared" si="71"/>
        <v>-1943</v>
      </c>
      <c r="M188" s="2"/>
      <c r="N188" s="7">
        <f t="shared" si="72"/>
        <v>-0.21972181386407327</v>
      </c>
      <c r="O188" s="11"/>
      <c r="P188" s="6">
        <v>13800</v>
      </c>
      <c r="Q188" s="2"/>
      <c r="R188" s="7">
        <f t="shared" si="73"/>
        <v>5.1341188088665788E-3</v>
      </c>
      <c r="S188" s="2"/>
      <c r="T188" s="6">
        <v>17686</v>
      </c>
      <c r="U188" s="2"/>
      <c r="V188" s="7">
        <f t="shared" si="74"/>
        <v>5.1057672710098307E-3</v>
      </c>
      <c r="W188" s="2"/>
      <c r="X188" s="6">
        <f t="shared" si="75"/>
        <v>-3886</v>
      </c>
      <c r="Y188" s="2"/>
      <c r="Z188" s="7">
        <f t="shared" si="76"/>
        <v>-0.21972181386407327</v>
      </c>
    </row>
    <row r="189" spans="1:26" s="29" customFormat="1" outlineLevel="1" collapsed="1" x14ac:dyDescent="0.25">
      <c r="A189" s="28"/>
      <c r="B189" s="14" t="str">
        <f>CONCATENATE("     ","Repair and Maintenance                            ")</f>
        <v xml:space="preserve">     Repair and Maintenance                            </v>
      </c>
      <c r="C189" s="14"/>
      <c r="D189" s="1">
        <f>SUM(OSRRefD22_18x_0)</f>
        <v>13911.13</v>
      </c>
      <c r="E189" s="1"/>
      <c r="F189" s="5">
        <f t="shared" si="69"/>
        <v>6.291804053134965E-3</v>
      </c>
      <c r="G189" s="1"/>
      <c r="H189" s="1">
        <f>SUM(OSRRefH22_18x_0)</f>
        <v>142289</v>
      </c>
      <c r="I189" s="1"/>
      <c r="J189" s="5">
        <f t="shared" si="70"/>
        <v>5.1301770390424759E-2</v>
      </c>
      <c r="K189" s="1"/>
      <c r="L189" s="1">
        <f t="shared" si="71"/>
        <v>-128377.87</v>
      </c>
      <c r="M189" s="1"/>
      <c r="N189" s="5">
        <f t="shared" si="72"/>
        <v>-0.90223327172163692</v>
      </c>
      <c r="O189" s="14"/>
      <c r="P189" s="1">
        <f>SUM(OSRRefP22_18x_0)</f>
        <v>84484.96</v>
      </c>
      <c r="Q189" s="1"/>
      <c r="R189" s="5">
        <f t="shared" si="73"/>
        <v>3.1431581319010186E-2</v>
      </c>
      <c r="S189" s="1"/>
      <c r="T189" s="1">
        <f>SUM(OSRRefT22_18x_0)</f>
        <v>205207</v>
      </c>
      <c r="U189" s="1"/>
      <c r="V189" s="5">
        <f t="shared" si="74"/>
        <v>5.9241161618348658E-2</v>
      </c>
      <c r="W189" s="1"/>
      <c r="X189" s="1">
        <f t="shared" si="75"/>
        <v>-120722.04</v>
      </c>
      <c r="Y189" s="1"/>
      <c r="Z189" s="5">
        <f t="shared" si="76"/>
        <v>-0.58829396658008737</v>
      </c>
    </row>
    <row r="190" spans="1:26" s="24" customFormat="1" hidden="1" outlineLevel="2" x14ac:dyDescent="0.25">
      <c r="A190" s="27"/>
      <c r="B190" s="11" t="str">
        <f>CONCATENATE("          ", "6371", " - ", "COMPUTER SOFTWARE MAINTENANCE")</f>
        <v xml:space="preserve">          6371 - COMPUTER SOFTWARE MAINTENANCE</v>
      </c>
      <c r="C190" s="11"/>
      <c r="D190" s="6"/>
      <c r="E190" s="2"/>
      <c r="F190" s="7">
        <f t="shared" si="69"/>
        <v>0</v>
      </c>
      <c r="G190" s="2"/>
      <c r="H190" s="6">
        <v>125000</v>
      </c>
      <c r="I190" s="2"/>
      <c r="J190" s="7">
        <f t="shared" si="70"/>
        <v>4.5068285663706222E-2</v>
      </c>
      <c r="K190" s="2"/>
      <c r="L190" s="6">
        <f t="shared" si="71"/>
        <v>-125000</v>
      </c>
      <c r="M190" s="2"/>
      <c r="N190" s="7">
        <f t="shared" si="72"/>
        <v>-1</v>
      </c>
      <c r="O190" s="11"/>
      <c r="P190" s="6">
        <v>58428.780000000006</v>
      </c>
      <c r="Q190" s="2"/>
      <c r="R190" s="7">
        <f t="shared" si="73"/>
        <v>2.1737702780951263E-2</v>
      </c>
      <c r="S190" s="2"/>
      <c r="T190" s="6">
        <v>170000</v>
      </c>
      <c r="U190" s="2"/>
      <c r="V190" s="7">
        <f t="shared" si="74"/>
        <v>4.907726088836771E-2</v>
      </c>
      <c r="W190" s="2"/>
      <c r="X190" s="6">
        <f t="shared" si="75"/>
        <v>-111571.22</v>
      </c>
      <c r="Y190" s="2"/>
      <c r="Z190" s="7">
        <f t="shared" si="76"/>
        <v>-0.65630129411764704</v>
      </c>
    </row>
    <row r="191" spans="1:26" s="24" customFormat="1" hidden="1" outlineLevel="2" x14ac:dyDescent="0.25">
      <c r="A191" s="27"/>
      <c r="B191" s="11" t="str">
        <f>CONCATENATE("          ", "6372", " - ", "COMPUTER HARDWARE MAINTENANCE")</f>
        <v xml:space="preserve">          6372 - COMPUTER HARDWARE MAINTENANCE</v>
      </c>
      <c r="C191" s="11"/>
      <c r="D191" s="6">
        <v>0.98</v>
      </c>
      <c r="E191" s="2"/>
      <c r="F191" s="7">
        <f t="shared" si="69"/>
        <v>4.4323990733119928E-7</v>
      </c>
      <c r="G191" s="2"/>
      <c r="H191" s="6">
        <v>1500</v>
      </c>
      <c r="I191" s="2"/>
      <c r="J191" s="7">
        <f t="shared" si="70"/>
        <v>5.4081942796447462E-4</v>
      </c>
      <c r="K191" s="2"/>
      <c r="L191" s="6">
        <f t="shared" si="71"/>
        <v>-1499.02</v>
      </c>
      <c r="M191" s="2"/>
      <c r="N191" s="7">
        <f t="shared" si="72"/>
        <v>-0.99934666666666661</v>
      </c>
      <c r="O191" s="11"/>
      <c r="P191" s="6">
        <v>0.98</v>
      </c>
      <c r="Q191" s="2"/>
      <c r="R191" s="7">
        <f t="shared" si="73"/>
        <v>3.6459684294849617E-7</v>
      </c>
      <c r="S191" s="2"/>
      <c r="T191" s="6">
        <v>6083</v>
      </c>
      <c r="U191" s="2"/>
      <c r="V191" s="7">
        <f t="shared" si="74"/>
        <v>1.7560998704937692E-3</v>
      </c>
      <c r="W191" s="2"/>
      <c r="X191" s="6">
        <f t="shared" si="75"/>
        <v>-6082.02</v>
      </c>
      <c r="Y191" s="2"/>
      <c r="Z191" s="7">
        <f t="shared" si="76"/>
        <v>-0.99983889528193337</v>
      </c>
    </row>
    <row r="192" spans="1:26" s="24" customFormat="1" hidden="1" outlineLevel="2" x14ac:dyDescent="0.25">
      <c r="A192" s="27"/>
      <c r="B192" s="11" t="str">
        <f>CONCATENATE("          ", "6373", " - ", "MAINTENANCE CONTRACTS")</f>
        <v xml:space="preserve">          6373 - MAINTENANCE CONTRACTS</v>
      </c>
      <c r="C192" s="11"/>
      <c r="D192" s="6">
        <v>10884.93</v>
      </c>
      <c r="E192" s="2"/>
      <c r="F192" s="7">
        <f t="shared" si="69"/>
        <v>4.923097310721011E-3</v>
      </c>
      <c r="G192" s="2"/>
      <c r="H192" s="6">
        <v>5698</v>
      </c>
      <c r="I192" s="2"/>
      <c r="J192" s="7">
        <f t="shared" si="70"/>
        <v>2.0543927336943843E-3</v>
      </c>
      <c r="K192" s="2"/>
      <c r="L192" s="6">
        <f t="shared" si="71"/>
        <v>5186.93</v>
      </c>
      <c r="M192" s="2"/>
      <c r="N192" s="7">
        <f t="shared" si="72"/>
        <v>0.91030712530712532</v>
      </c>
      <c r="O192" s="11"/>
      <c r="P192" s="6">
        <v>19656.18</v>
      </c>
      <c r="Q192" s="2"/>
      <c r="R192" s="7">
        <f t="shared" si="73"/>
        <v>7.3128379310483382E-3</v>
      </c>
      <c r="S192" s="2"/>
      <c r="T192" s="6">
        <v>9296</v>
      </c>
      <c r="U192" s="2"/>
      <c r="V192" s="7">
        <f t="shared" si="74"/>
        <v>2.6836601012839188E-3</v>
      </c>
      <c r="W192" s="2"/>
      <c r="X192" s="6">
        <f t="shared" si="75"/>
        <v>10360.18</v>
      </c>
      <c r="Y192" s="2"/>
      <c r="Z192" s="7">
        <f t="shared" si="76"/>
        <v>1.1144771944922547</v>
      </c>
    </row>
    <row r="193" spans="1:26" s="24" customFormat="1" hidden="1" outlineLevel="2" x14ac:dyDescent="0.25">
      <c r="A193" s="27"/>
      <c r="B193" s="11" t="str">
        <f>CONCATENATE("          ", "6375", " - ", "OUTSIDE REPAIRS &amp; MAINTENANCE")</f>
        <v xml:space="preserve">          6375 - OUTSIDE REPAIRS &amp; MAINTENANCE</v>
      </c>
      <c r="C193" s="11"/>
      <c r="D193" s="6">
        <v>3025.22</v>
      </c>
      <c r="E193" s="2"/>
      <c r="F193" s="7">
        <f t="shared" si="69"/>
        <v>1.3682635025066231E-3</v>
      </c>
      <c r="G193" s="2"/>
      <c r="H193" s="6">
        <v>10091</v>
      </c>
      <c r="I193" s="2"/>
      <c r="J193" s="7">
        <f t="shared" si="70"/>
        <v>3.6382725650596758E-3</v>
      </c>
      <c r="K193" s="2"/>
      <c r="L193" s="6">
        <f t="shared" si="71"/>
        <v>-7065.7800000000007</v>
      </c>
      <c r="M193" s="2"/>
      <c r="N193" s="7">
        <f t="shared" si="72"/>
        <v>-0.70020612426915074</v>
      </c>
      <c r="O193" s="11"/>
      <c r="P193" s="6">
        <v>6399.02</v>
      </c>
      <c r="Q193" s="2"/>
      <c r="R193" s="7">
        <f t="shared" si="73"/>
        <v>2.3806760101676388E-3</v>
      </c>
      <c r="S193" s="2"/>
      <c r="T193" s="6">
        <v>19828</v>
      </c>
      <c r="U193" s="2"/>
      <c r="V193" s="7">
        <f t="shared" si="74"/>
        <v>5.724140758203264E-3</v>
      </c>
      <c r="W193" s="2"/>
      <c r="X193" s="6">
        <f t="shared" si="75"/>
        <v>-13428.98</v>
      </c>
      <c r="Y193" s="2"/>
      <c r="Z193" s="7">
        <f t="shared" si="76"/>
        <v>-0.67727355255194677</v>
      </c>
    </row>
    <row r="194" spans="1:26" s="29" customFormat="1" outlineLevel="1" collapsed="1" x14ac:dyDescent="0.25">
      <c r="A194" s="28"/>
      <c r="B194" s="14" t="str">
        <f>CONCATENATE("     ","Royalty &amp; Commissions                             ")</f>
        <v xml:space="preserve">     Royalty &amp; Commissions                             </v>
      </c>
      <c r="C194" s="14"/>
      <c r="D194" s="1">
        <f>SUM(OSRRefD22_19x_0)</f>
        <v>2254.65</v>
      </c>
      <c r="E194" s="1"/>
      <c r="F194" s="5">
        <f t="shared" ref="F194:F198" si="77">IF(D$12=0,0,D194/D$12)</f>
        <v>1.0197457725145802E-3</v>
      </c>
      <c r="G194" s="1"/>
      <c r="H194" s="1">
        <f>SUM(OSRRefH22_19x_0)</f>
        <v>7001</v>
      </c>
      <c r="I194" s="1"/>
      <c r="J194" s="5">
        <f t="shared" ref="J194:J198" si="78">IF(H$12=0,0,H194/H$12)</f>
        <v>2.5241845434528579E-3</v>
      </c>
      <c r="K194" s="1"/>
      <c r="L194" s="1">
        <f t="shared" ref="L194:L198" si="79">+D194-H194</f>
        <v>-4746.3500000000004</v>
      </c>
      <c r="M194" s="1"/>
      <c r="N194" s="5">
        <f t="shared" ref="N194:N198" si="80">IF(H194=0,0,L194/H194)</f>
        <v>-0.67795314955006436</v>
      </c>
      <c r="O194" s="14"/>
      <c r="P194" s="1">
        <f>SUM(OSRRefP22_19x_0)</f>
        <v>13244.4</v>
      </c>
      <c r="Q194" s="1"/>
      <c r="R194" s="5">
        <f t="shared" ref="R194:R198" si="81">IF(P$12=0,0,P194/P$12)</f>
        <v>4.9274147211704721E-3</v>
      </c>
      <c r="S194" s="1"/>
      <c r="T194" s="1">
        <f>SUM(OSRRefT22_19x_0)</f>
        <v>13422</v>
      </c>
      <c r="U194" s="1"/>
      <c r="V194" s="5">
        <f t="shared" ref="V194:V198" si="82">IF(T$12=0,0,T194/T$12)</f>
        <v>3.8747940920215965E-3</v>
      </c>
      <c r="W194" s="1"/>
      <c r="X194" s="1">
        <f t="shared" ref="X194:X198" si="83">+P194-T194</f>
        <v>-177.60000000000036</v>
      </c>
      <c r="Y194" s="1"/>
      <c r="Z194" s="5">
        <f t="shared" ref="Z194:Z198" si="84">IF(T194=0,0,X194/T194)</f>
        <v>-1.3232007152436326E-2</v>
      </c>
    </row>
    <row r="195" spans="1:26" s="24" customFormat="1" hidden="1" outlineLevel="2" x14ac:dyDescent="0.25">
      <c r="A195" s="27"/>
      <c r="B195" s="11" t="str">
        <f>CONCATENATE("          ", "6252", " - ", "ROYALTY DUE CSTV")</f>
        <v xml:space="preserve">          6252 - ROYALTY DUE CSTV</v>
      </c>
      <c r="C195" s="11"/>
      <c r="D195" s="6"/>
      <c r="E195" s="2"/>
      <c r="F195" s="7">
        <f t="shared" si="77"/>
        <v>0</v>
      </c>
      <c r="G195" s="2"/>
      <c r="H195" s="6">
        <v>1085</v>
      </c>
      <c r="I195" s="2"/>
      <c r="J195" s="7">
        <f t="shared" si="78"/>
        <v>3.9119271956097E-4</v>
      </c>
      <c r="K195" s="2"/>
      <c r="L195" s="6">
        <f t="shared" si="79"/>
        <v>-1085</v>
      </c>
      <c r="M195" s="2"/>
      <c r="N195" s="7">
        <f t="shared" si="80"/>
        <v>-1</v>
      </c>
      <c r="O195" s="11"/>
      <c r="P195" s="6"/>
      <c r="Q195" s="2"/>
      <c r="R195" s="7">
        <f t="shared" si="81"/>
        <v>0</v>
      </c>
      <c r="S195" s="2"/>
      <c r="T195" s="6">
        <v>2170</v>
      </c>
      <c r="U195" s="2"/>
      <c r="V195" s="7">
        <f t="shared" si="82"/>
        <v>6.2645680075151724E-4</v>
      </c>
      <c r="W195" s="2"/>
      <c r="X195" s="6">
        <f t="shared" si="83"/>
        <v>-2170</v>
      </c>
      <c r="Y195" s="2"/>
      <c r="Z195" s="7">
        <f t="shared" si="84"/>
        <v>-1</v>
      </c>
    </row>
    <row r="196" spans="1:26" s="24" customFormat="1" hidden="1" outlineLevel="2" x14ac:dyDescent="0.25">
      <c r="A196" s="27"/>
      <c r="B196" s="11" t="str">
        <f>CONCATENATE("          ", "6253", " - ", "ROYALTY DUE ATHLETICS-LRG")</f>
        <v xml:space="preserve">          6253 - ROYALTY DUE ATHLETICS-LRG</v>
      </c>
      <c r="C196" s="11"/>
      <c r="D196" s="6">
        <v>2250</v>
      </c>
      <c r="E196" s="2"/>
      <c r="F196" s="7">
        <f t="shared" si="77"/>
        <v>1.0176426443828555E-3</v>
      </c>
      <c r="G196" s="2"/>
      <c r="H196" s="6">
        <v>4037</v>
      </c>
      <c r="I196" s="2"/>
      <c r="J196" s="7">
        <f t="shared" si="78"/>
        <v>1.455525353795056E-3</v>
      </c>
      <c r="K196" s="2"/>
      <c r="L196" s="6">
        <f t="shared" si="79"/>
        <v>-1787</v>
      </c>
      <c r="M196" s="2"/>
      <c r="N196" s="7">
        <f t="shared" si="80"/>
        <v>-0.44265543720584594</v>
      </c>
      <c r="O196" s="11"/>
      <c r="P196" s="6">
        <v>7922.2</v>
      </c>
      <c r="Q196" s="2"/>
      <c r="R196" s="7">
        <f t="shared" si="81"/>
        <v>2.9473562338842617E-3</v>
      </c>
      <c r="S196" s="2"/>
      <c r="T196" s="6">
        <v>8074</v>
      </c>
      <c r="U196" s="2"/>
      <c r="V196" s="7">
        <f t="shared" si="82"/>
        <v>2.3308812024275347E-3</v>
      </c>
      <c r="W196" s="2"/>
      <c r="X196" s="6">
        <f t="shared" si="83"/>
        <v>-151.80000000000018</v>
      </c>
      <c r="Y196" s="2"/>
      <c r="Z196" s="7">
        <f t="shared" si="84"/>
        <v>-1.8801089918256152E-2</v>
      </c>
    </row>
    <row r="197" spans="1:26" s="24" customFormat="1" hidden="1" outlineLevel="2" x14ac:dyDescent="0.25">
      <c r="A197" s="27"/>
      <c r="B197" s="11" t="str">
        <f>CONCATENATE("          ", "6254", " - ", "ROYALTY &amp; COMMISSIONS")</f>
        <v xml:space="preserve">          6254 - ROYALTY &amp; COMMISSIONS</v>
      </c>
      <c r="C197" s="11"/>
      <c r="D197" s="6"/>
      <c r="E197" s="2"/>
      <c r="F197" s="7">
        <f t="shared" si="77"/>
        <v>0</v>
      </c>
      <c r="G197" s="2"/>
      <c r="H197" s="6">
        <v>1149</v>
      </c>
      <c r="I197" s="2"/>
      <c r="J197" s="7">
        <f t="shared" si="78"/>
        <v>4.1426768182078761E-4</v>
      </c>
      <c r="K197" s="2"/>
      <c r="L197" s="6">
        <f t="shared" si="79"/>
        <v>-1149</v>
      </c>
      <c r="M197" s="2"/>
      <c r="N197" s="7">
        <f t="shared" si="80"/>
        <v>-1</v>
      </c>
      <c r="O197" s="11"/>
      <c r="P197" s="6"/>
      <c r="Q197" s="2"/>
      <c r="R197" s="7">
        <f t="shared" si="81"/>
        <v>0</v>
      </c>
      <c r="S197" s="2"/>
      <c r="T197" s="6">
        <v>2298</v>
      </c>
      <c r="U197" s="2"/>
      <c r="V197" s="7">
        <f t="shared" si="82"/>
        <v>6.6340909130275876E-4</v>
      </c>
      <c r="W197" s="2"/>
      <c r="X197" s="6">
        <f t="shared" si="83"/>
        <v>-2298</v>
      </c>
      <c r="Y197" s="2"/>
      <c r="Z197" s="7">
        <f t="shared" si="84"/>
        <v>-1</v>
      </c>
    </row>
    <row r="198" spans="1:26" s="24" customFormat="1" hidden="1" outlineLevel="2" x14ac:dyDescent="0.25">
      <c r="A198" s="27"/>
      <c r="B198" s="11" t="str">
        <f>CONCATENATE("          ", "6259", " - ", "ROYALTY &amp; COMMISSIONS")</f>
        <v xml:space="preserve">          6259 - ROYALTY &amp; COMMISSIONS</v>
      </c>
      <c r="C198" s="11"/>
      <c r="D198" s="6">
        <v>4.6500000000000004</v>
      </c>
      <c r="E198" s="2"/>
      <c r="F198" s="7">
        <f t="shared" si="77"/>
        <v>2.103128131724568E-6</v>
      </c>
      <c r="G198" s="2"/>
      <c r="H198" s="6">
        <v>730</v>
      </c>
      <c r="I198" s="2"/>
      <c r="J198" s="7">
        <f t="shared" si="78"/>
        <v>2.6319878827604434E-4</v>
      </c>
      <c r="K198" s="2"/>
      <c r="L198" s="6">
        <f t="shared" si="79"/>
        <v>-725.35</v>
      </c>
      <c r="M198" s="2"/>
      <c r="N198" s="7">
        <f t="shared" si="80"/>
        <v>-0.99363013698630143</v>
      </c>
      <c r="O198" s="11"/>
      <c r="P198" s="6">
        <v>5322.2</v>
      </c>
      <c r="Q198" s="2"/>
      <c r="R198" s="7">
        <f t="shared" si="81"/>
        <v>1.9800584872862103E-3</v>
      </c>
      <c r="S198" s="2"/>
      <c r="T198" s="6">
        <v>880</v>
      </c>
      <c r="U198" s="2"/>
      <c r="V198" s="7">
        <f t="shared" si="82"/>
        <v>2.5404699753978576E-4</v>
      </c>
      <c r="W198" s="2"/>
      <c r="X198" s="6">
        <f t="shared" si="83"/>
        <v>4442.2</v>
      </c>
      <c r="Y198" s="2"/>
      <c r="Z198" s="7">
        <f t="shared" si="84"/>
        <v>5.0479545454545454</v>
      </c>
    </row>
    <row r="199" spans="1:26" s="29" customFormat="1" outlineLevel="1" collapsed="1" x14ac:dyDescent="0.25">
      <c r="A199" s="28"/>
      <c r="B199" s="14" t="str">
        <f>CONCATENATE("     ","Services                                          ")</f>
        <v xml:space="preserve">     Services                                          </v>
      </c>
      <c r="C199" s="14"/>
      <c r="D199" s="1">
        <f>SUM(OSRRefD22_20x_0)</f>
        <v>11874.029999999999</v>
      </c>
      <c r="E199" s="1"/>
      <c r="F199" s="5">
        <f t="shared" ref="F199:F204" si="85">IF(D$12=0,0,D199/D$12)</f>
        <v>5.3704530171917141E-3</v>
      </c>
      <c r="G199" s="1"/>
      <c r="H199" s="1">
        <f>SUM(OSRRefH22_20x_0)</f>
        <v>30211</v>
      </c>
      <c r="I199" s="1"/>
      <c r="J199" s="5">
        <f t="shared" ref="J199:J204" si="86">IF(H$12=0,0,H199/H$12)</f>
        <v>1.0892463825489829E-2</v>
      </c>
      <c r="K199" s="1"/>
      <c r="L199" s="1">
        <f t="shared" ref="L199:L204" si="87">+D199-H199</f>
        <v>-18336.97</v>
      </c>
      <c r="M199" s="1"/>
      <c r="N199" s="5">
        <f t="shared" ref="N199:N204" si="88">IF(H199=0,0,L199/H199)</f>
        <v>-0.60696335771738774</v>
      </c>
      <c r="O199" s="14"/>
      <c r="P199" s="1">
        <f>SUM(OSRRefP22_20x_0)</f>
        <v>27713.040000000005</v>
      </c>
      <c r="Q199" s="1"/>
      <c r="R199" s="5">
        <f t="shared" ref="R199:R204" si="89">IF(P$12=0,0,P199/P$12)</f>
        <v>1.0310292747454484E-2</v>
      </c>
      <c r="S199" s="1"/>
      <c r="T199" s="1">
        <f>SUM(OSRRefT22_20x_0)</f>
        <v>60221</v>
      </c>
      <c r="U199" s="1"/>
      <c r="V199" s="5">
        <f t="shared" ref="V199:V204" si="90">IF(T$12=0,0,T199/T$12)</f>
        <v>1.7385186635049364E-2</v>
      </c>
      <c r="W199" s="1"/>
      <c r="X199" s="1">
        <f t="shared" ref="X199:X204" si="91">+P199-T199</f>
        <v>-32507.959999999995</v>
      </c>
      <c r="Y199" s="1"/>
      <c r="Z199" s="5">
        <f t="shared" ref="Z199:Z204" si="92">IF(T199=0,0,X199/T199)</f>
        <v>-0.53981102937513481</v>
      </c>
    </row>
    <row r="200" spans="1:26" s="24" customFormat="1" hidden="1" outlineLevel="2" x14ac:dyDescent="0.25">
      <c r="A200" s="27"/>
      <c r="B200" s="11" t="str">
        <f>CONCATENATE("          ", "6282", " - ", "JANITORIAL/EXTERMINATOR EXPENS")</f>
        <v xml:space="preserve">          6282 - JANITORIAL/EXTERMINATOR EXPENS</v>
      </c>
      <c r="C200" s="11"/>
      <c r="D200" s="6">
        <v>967.1</v>
      </c>
      <c r="E200" s="2"/>
      <c r="F200" s="7">
        <f t="shared" si="85"/>
        <v>4.3740542283673761E-4</v>
      </c>
      <c r="G200" s="2"/>
      <c r="H200" s="6">
        <v>6862</v>
      </c>
      <c r="I200" s="2"/>
      <c r="J200" s="7">
        <f t="shared" si="86"/>
        <v>2.4740686097948169E-3</v>
      </c>
      <c r="K200" s="2"/>
      <c r="L200" s="6">
        <f t="shared" si="87"/>
        <v>-5894.9</v>
      </c>
      <c r="M200" s="2"/>
      <c r="N200" s="7">
        <f t="shared" si="88"/>
        <v>-0.85906441270766531</v>
      </c>
      <c r="O200" s="11"/>
      <c r="P200" s="6">
        <v>2611.9</v>
      </c>
      <c r="Q200" s="2"/>
      <c r="R200" s="7">
        <f t="shared" si="89"/>
        <v>9.7172499397671136E-4</v>
      </c>
      <c r="S200" s="2"/>
      <c r="T200" s="6">
        <v>13724</v>
      </c>
      <c r="U200" s="2"/>
      <c r="V200" s="7">
        <f t="shared" si="90"/>
        <v>3.9619784025409317E-3</v>
      </c>
      <c r="W200" s="2"/>
      <c r="X200" s="6">
        <f t="shared" si="91"/>
        <v>-11112.1</v>
      </c>
      <c r="Y200" s="2"/>
      <c r="Z200" s="7">
        <f t="shared" si="92"/>
        <v>-0.80968376566598665</v>
      </c>
    </row>
    <row r="201" spans="1:26" s="24" customFormat="1" hidden="1" outlineLevel="2" x14ac:dyDescent="0.25">
      <c r="A201" s="27"/>
      <c r="B201" s="11" t="str">
        <f>CONCATENATE("          ", "6283", " - ", "PLANT SERVICE")</f>
        <v xml:space="preserve">          6283 - PLANT SERVICE</v>
      </c>
      <c r="C201" s="11"/>
      <c r="D201" s="6"/>
      <c r="E201" s="2"/>
      <c r="F201" s="7">
        <f t="shared" si="85"/>
        <v>0</v>
      </c>
      <c r="G201" s="2"/>
      <c r="H201" s="6">
        <v>62</v>
      </c>
      <c r="I201" s="2"/>
      <c r="J201" s="7">
        <f t="shared" si="86"/>
        <v>2.2353869689198286E-5</v>
      </c>
      <c r="K201" s="2"/>
      <c r="L201" s="6">
        <f t="shared" si="87"/>
        <v>-62</v>
      </c>
      <c r="M201" s="2"/>
      <c r="N201" s="7">
        <f t="shared" si="88"/>
        <v>-1</v>
      </c>
      <c r="O201" s="11"/>
      <c r="P201" s="6">
        <v>130</v>
      </c>
      <c r="Q201" s="2"/>
      <c r="R201" s="7">
        <f t="shared" si="89"/>
        <v>4.8364887329902554E-5</v>
      </c>
      <c r="S201" s="2"/>
      <c r="T201" s="6">
        <v>124</v>
      </c>
      <c r="U201" s="2"/>
      <c r="V201" s="7">
        <f t="shared" si="90"/>
        <v>3.5797531471515272E-5</v>
      </c>
      <c r="W201" s="2"/>
      <c r="X201" s="6">
        <f t="shared" si="91"/>
        <v>6</v>
      </c>
      <c r="Y201" s="2"/>
      <c r="Z201" s="7">
        <f t="shared" si="92"/>
        <v>4.8387096774193547E-2</v>
      </c>
    </row>
    <row r="202" spans="1:26" s="24" customFormat="1" hidden="1" outlineLevel="2" x14ac:dyDescent="0.25">
      <c r="A202" s="27"/>
      <c r="B202" s="11" t="str">
        <f>CONCATENATE("          ", "6284", " - ", "TRASH REMOVAL EXPENSE")</f>
        <v xml:space="preserve">          6284 - TRASH REMOVAL EXPENSE</v>
      </c>
      <c r="C202" s="11"/>
      <c r="D202" s="6">
        <v>1142.57</v>
      </c>
      <c r="E202" s="2"/>
      <c r="F202" s="7">
        <f t="shared" si="85"/>
        <v>5.1676798053000854E-4</v>
      </c>
      <c r="G202" s="2"/>
      <c r="H202" s="6">
        <v>2155</v>
      </c>
      <c r="I202" s="2"/>
      <c r="J202" s="7">
        <f t="shared" si="86"/>
        <v>7.7697724484229529E-4</v>
      </c>
      <c r="K202" s="2"/>
      <c r="L202" s="6">
        <f t="shared" si="87"/>
        <v>-1012.4300000000001</v>
      </c>
      <c r="M202" s="2"/>
      <c r="N202" s="7">
        <f t="shared" si="88"/>
        <v>-0.46980510440835271</v>
      </c>
      <c r="O202" s="11"/>
      <c r="P202" s="6">
        <v>2285.14</v>
      </c>
      <c r="Q202" s="2"/>
      <c r="R202" s="7">
        <f t="shared" si="89"/>
        <v>8.5015798948502705E-4</v>
      </c>
      <c r="S202" s="2"/>
      <c r="T202" s="6">
        <v>4770</v>
      </c>
      <c r="U202" s="2"/>
      <c r="V202" s="7">
        <f t="shared" si="90"/>
        <v>1.3770502025736116E-3</v>
      </c>
      <c r="W202" s="2"/>
      <c r="X202" s="6">
        <f t="shared" si="91"/>
        <v>-2484.86</v>
      </c>
      <c r="Y202" s="2"/>
      <c r="Z202" s="7">
        <f t="shared" si="92"/>
        <v>-0.52093501048218027</v>
      </c>
    </row>
    <row r="203" spans="1:26" s="24" customFormat="1" hidden="1" outlineLevel="2" x14ac:dyDescent="0.25">
      <c r="A203" s="27"/>
      <c r="B203" s="11" t="str">
        <f>CONCATENATE("          ", "6285", " - ", "JANITORIAL SERVICES")</f>
        <v xml:space="preserve">          6285 - JANITORIAL SERVICES</v>
      </c>
      <c r="C203" s="11"/>
      <c r="D203" s="6">
        <v>7251.9</v>
      </c>
      <c r="E203" s="2"/>
      <c r="F203" s="7">
        <f t="shared" si="85"/>
        <v>3.2799300856889021E-3</v>
      </c>
      <c r="G203" s="2"/>
      <c r="H203" s="6">
        <v>16490</v>
      </c>
      <c r="I203" s="2"/>
      <c r="J203" s="7">
        <f t="shared" si="86"/>
        <v>5.9454082447561243E-3</v>
      </c>
      <c r="K203" s="2"/>
      <c r="L203" s="6">
        <f t="shared" si="87"/>
        <v>-9238.1</v>
      </c>
      <c r="M203" s="2"/>
      <c r="N203" s="7">
        <f t="shared" si="88"/>
        <v>-0.56022437841115835</v>
      </c>
      <c r="O203" s="11"/>
      <c r="P203" s="6">
        <v>18236.070000000003</v>
      </c>
      <c r="Q203" s="2"/>
      <c r="R203" s="7">
        <f t="shared" si="89"/>
        <v>6.7845036222324321E-3</v>
      </c>
      <c r="S203" s="2"/>
      <c r="T203" s="6">
        <v>32419</v>
      </c>
      <c r="U203" s="2"/>
      <c r="V203" s="7">
        <f t="shared" si="90"/>
        <v>9.3590336514117224E-3</v>
      </c>
      <c r="W203" s="2"/>
      <c r="X203" s="6">
        <f t="shared" si="91"/>
        <v>-14182.929999999997</v>
      </c>
      <c r="Y203" s="2"/>
      <c r="Z203" s="7">
        <f t="shared" si="92"/>
        <v>-0.43748820136339789</v>
      </c>
    </row>
    <row r="204" spans="1:26" s="24" customFormat="1" hidden="1" outlineLevel="2" x14ac:dyDescent="0.25">
      <c r="A204" s="27"/>
      <c r="B204" s="11" t="str">
        <f>CONCATENATE("          ", "6286", " - ", "LAUNDRY EXPENSE")</f>
        <v xml:space="preserve">          6286 - LAUNDRY EXPENSE</v>
      </c>
      <c r="C204" s="11"/>
      <c r="D204" s="6">
        <v>2512.46</v>
      </c>
      <c r="E204" s="2"/>
      <c r="F204" s="7">
        <f t="shared" si="85"/>
        <v>1.1363495281360664E-3</v>
      </c>
      <c r="G204" s="2"/>
      <c r="H204" s="6">
        <v>4642</v>
      </c>
      <c r="I204" s="2"/>
      <c r="J204" s="7">
        <f t="shared" si="86"/>
        <v>1.6736558564073942E-3</v>
      </c>
      <c r="K204" s="2"/>
      <c r="L204" s="6">
        <f t="shared" si="87"/>
        <v>-2129.54</v>
      </c>
      <c r="M204" s="2"/>
      <c r="N204" s="7">
        <f t="shared" si="88"/>
        <v>-0.45875484704868591</v>
      </c>
      <c r="O204" s="11"/>
      <c r="P204" s="6">
        <v>4449.93</v>
      </c>
      <c r="Q204" s="2"/>
      <c r="R204" s="7">
        <f t="shared" si="89"/>
        <v>1.6555412544304099E-3</v>
      </c>
      <c r="S204" s="2"/>
      <c r="T204" s="6">
        <v>9184</v>
      </c>
      <c r="U204" s="2"/>
      <c r="V204" s="7">
        <f t="shared" si="90"/>
        <v>2.6513268470515824E-3</v>
      </c>
      <c r="W204" s="2"/>
      <c r="X204" s="6">
        <f t="shared" si="91"/>
        <v>-4734.07</v>
      </c>
      <c r="Y204" s="2"/>
      <c r="Z204" s="7">
        <f t="shared" si="92"/>
        <v>-0.51546929442508704</v>
      </c>
    </row>
    <row r="205" spans="1:26" s="29" customFormat="1" outlineLevel="1" collapsed="1" x14ac:dyDescent="0.25">
      <c r="A205" s="28"/>
      <c r="B205" s="14" t="str">
        <f>CONCATENATE("     ","Subscriptions &amp; Dues                              ")</f>
        <v xml:space="preserve">     Subscriptions &amp; Dues                              </v>
      </c>
      <c r="C205" s="14"/>
      <c r="D205" s="1">
        <f>SUM(OSRRefD22_21x_0)</f>
        <v>270</v>
      </c>
      <c r="E205" s="1"/>
      <c r="F205" s="5">
        <f t="shared" ref="F205:F207" si="93">IF(D$12=0,0,D205/D$12)</f>
        <v>1.2211711732594267E-4</v>
      </c>
      <c r="G205" s="1"/>
      <c r="H205" s="1">
        <f>SUM(OSRRefH22_21x_0)</f>
        <v>1473</v>
      </c>
      <c r="I205" s="1"/>
      <c r="J205" s="5">
        <f t="shared" ref="J205:J207" si="94">IF(H$12=0,0,H205/H$12)</f>
        <v>5.3108467826111407E-4</v>
      </c>
      <c r="K205" s="1"/>
      <c r="L205" s="1">
        <f t="shared" ref="L205:L207" si="95">+D205-H205</f>
        <v>-1203</v>
      </c>
      <c r="M205" s="1"/>
      <c r="N205" s="5">
        <f t="shared" ref="N205:N207" si="96">IF(H205=0,0,L205/H205)</f>
        <v>-0.81670061099796332</v>
      </c>
      <c r="O205" s="14"/>
      <c r="P205" s="1">
        <f>SUM(OSRRefP22_21x_0)</f>
        <v>644.31999999999994</v>
      </c>
      <c r="Q205" s="1"/>
      <c r="R205" s="5">
        <f t="shared" ref="R205:R207" si="97">IF(P$12=0,0,P205/P$12)</f>
        <v>2.3971126311079084E-4</v>
      </c>
      <c r="S205" s="1"/>
      <c r="T205" s="1">
        <f>SUM(OSRRefT22_21x_0)</f>
        <v>4341</v>
      </c>
      <c r="U205" s="1"/>
      <c r="V205" s="5">
        <f t="shared" ref="V205:V207" si="98">IF(T$12=0,0,T205/T$12)</f>
        <v>1.253202291272966E-3</v>
      </c>
      <c r="W205" s="1"/>
      <c r="X205" s="1">
        <f t="shared" ref="X205:X207" si="99">+P205-T205</f>
        <v>-3696.6800000000003</v>
      </c>
      <c r="Y205" s="1"/>
      <c r="Z205" s="5">
        <f t="shared" ref="Z205:Z207" si="100">IF(T205=0,0,X205/T205)</f>
        <v>-0.85157337019120027</v>
      </c>
    </row>
    <row r="206" spans="1:26" s="24" customFormat="1" hidden="1" outlineLevel="2" x14ac:dyDescent="0.25">
      <c r="A206" s="27"/>
      <c r="B206" s="11" t="str">
        <f>CONCATENATE("          ", "6258", " - ", "MEMBERSHIP DUES")</f>
        <v xml:space="preserve">          6258 - MEMBERSHIP DUES</v>
      </c>
      <c r="C206" s="11"/>
      <c r="D206" s="6">
        <v>270</v>
      </c>
      <c r="E206" s="2"/>
      <c r="F206" s="7">
        <f t="shared" si="93"/>
        <v>1.2211711732594267E-4</v>
      </c>
      <c r="G206" s="2"/>
      <c r="H206" s="6">
        <v>1100</v>
      </c>
      <c r="I206" s="2"/>
      <c r="J206" s="7">
        <f t="shared" si="94"/>
        <v>3.9660091384061477E-4</v>
      </c>
      <c r="K206" s="2"/>
      <c r="L206" s="6">
        <f t="shared" si="95"/>
        <v>-830</v>
      </c>
      <c r="M206" s="2"/>
      <c r="N206" s="7">
        <f t="shared" si="96"/>
        <v>-0.75454545454545452</v>
      </c>
      <c r="O206" s="11"/>
      <c r="P206" s="6">
        <v>560</v>
      </c>
      <c r="Q206" s="2"/>
      <c r="R206" s="7">
        <f t="shared" si="97"/>
        <v>2.0834105311342638E-4</v>
      </c>
      <c r="S206" s="2"/>
      <c r="T206" s="6">
        <v>3595</v>
      </c>
      <c r="U206" s="2"/>
      <c r="V206" s="7">
        <f t="shared" si="98"/>
        <v>1.0378397229040112E-3</v>
      </c>
      <c r="W206" s="2"/>
      <c r="X206" s="6">
        <f t="shared" si="99"/>
        <v>-3035</v>
      </c>
      <c r="Y206" s="2"/>
      <c r="Z206" s="7">
        <f t="shared" si="100"/>
        <v>-0.84422809457579973</v>
      </c>
    </row>
    <row r="207" spans="1:26" s="24" customFormat="1" hidden="1" outlineLevel="2" x14ac:dyDescent="0.25">
      <c r="A207" s="27"/>
      <c r="B207" s="11" t="str">
        <f>CONCATENATE("          ", "6275", " - ", "SUBSCRIPTIONS")</f>
        <v xml:space="preserve">          6275 - SUBSCRIPTIONS</v>
      </c>
      <c r="C207" s="11"/>
      <c r="D207" s="6"/>
      <c r="E207" s="2"/>
      <c r="F207" s="7">
        <f t="shared" si="93"/>
        <v>0</v>
      </c>
      <c r="G207" s="2"/>
      <c r="H207" s="6">
        <v>373</v>
      </c>
      <c r="I207" s="2"/>
      <c r="J207" s="7">
        <f t="shared" si="94"/>
        <v>1.3448376442049936E-4</v>
      </c>
      <c r="K207" s="2"/>
      <c r="L207" s="6">
        <f t="shared" si="95"/>
        <v>-373</v>
      </c>
      <c r="M207" s="2"/>
      <c r="N207" s="7">
        <f t="shared" si="96"/>
        <v>-1</v>
      </c>
      <c r="O207" s="11"/>
      <c r="P207" s="6">
        <v>84.32</v>
      </c>
      <c r="Q207" s="2"/>
      <c r="R207" s="7">
        <f t="shared" si="97"/>
        <v>3.1370209997364481E-5</v>
      </c>
      <c r="S207" s="2"/>
      <c r="T207" s="6">
        <v>746</v>
      </c>
      <c r="U207" s="2"/>
      <c r="V207" s="7">
        <f t="shared" si="98"/>
        <v>2.1536256836895477E-4</v>
      </c>
      <c r="W207" s="2"/>
      <c r="X207" s="6">
        <f t="shared" si="99"/>
        <v>-661.68000000000006</v>
      </c>
      <c r="Y207" s="2"/>
      <c r="Z207" s="7">
        <f t="shared" si="100"/>
        <v>-0.88697050938337807</v>
      </c>
    </row>
    <row r="208" spans="1:26" s="29" customFormat="1" outlineLevel="1" collapsed="1" x14ac:dyDescent="0.25">
      <c r="A208" s="28"/>
      <c r="B208" s="14" t="str">
        <f>CONCATENATE("     ","Supplies                                          ")</f>
        <v xml:space="preserve">     Supplies                                          </v>
      </c>
      <c r="C208" s="14"/>
      <c r="D208" s="1">
        <f>SUM(OSRRefD22_22x_0)</f>
        <v>34496.480000000003</v>
      </c>
      <c r="E208" s="1"/>
      <c r="F208" s="5">
        <f t="shared" ref="F208:F219" si="101">IF(D$12=0,0,D208/D$12)</f>
        <v>1.5602261835155685E-2</v>
      </c>
      <c r="G208" s="1"/>
      <c r="H208" s="1">
        <f>SUM(OSRRefH22_22x_0)</f>
        <v>82062</v>
      </c>
      <c r="I208" s="1"/>
      <c r="J208" s="5">
        <f t="shared" ref="J208:J219" si="102">IF(H$12=0,0,H208/H$12)</f>
        <v>2.9587149265080478E-2</v>
      </c>
      <c r="K208" s="1"/>
      <c r="L208" s="1">
        <f t="shared" ref="L208:L219" si="103">+D208-H208</f>
        <v>-47565.52</v>
      </c>
      <c r="M208" s="1"/>
      <c r="N208" s="5">
        <f t="shared" ref="N208:N219" si="104">IF(H208=0,0,L208/H208)</f>
        <v>-0.57962906095391287</v>
      </c>
      <c r="O208" s="14"/>
      <c r="P208" s="1">
        <f>SUM(OSRRefP22_22x_0)</f>
        <v>54339.040000000001</v>
      </c>
      <c r="Q208" s="1"/>
      <c r="R208" s="5">
        <f t="shared" ref="R208:R219" si="105">IF(P$12=0,0,P208/P$12)</f>
        <v>2.0216165747808216E-2</v>
      </c>
      <c r="S208" s="1"/>
      <c r="T208" s="1">
        <f>SUM(OSRRefT22_22x_0)</f>
        <v>113788</v>
      </c>
      <c r="U208" s="1"/>
      <c r="V208" s="5">
        <f t="shared" ref="V208:V219" si="106">IF(T$12=0,0,T208/T$12)</f>
        <v>3.2849431540974028E-2</v>
      </c>
      <c r="W208" s="1"/>
      <c r="X208" s="1">
        <f t="shared" ref="X208:X219" si="107">+P208-T208</f>
        <v>-59448.959999999999</v>
      </c>
      <c r="Y208" s="1"/>
      <c r="Z208" s="5">
        <f t="shared" ref="Z208:Z219" si="108">IF(T208=0,0,X208/T208)</f>
        <v>-0.52245368580166629</v>
      </c>
    </row>
    <row r="209" spans="1:26" s="24" customFormat="1" hidden="1" outlineLevel="2" x14ac:dyDescent="0.25">
      <c r="A209" s="27"/>
      <c r="B209" s="11" t="str">
        <f>CONCATENATE("          ", "6234", " - ", "EXPENDABLE SUPPLIES &amp; EQUIPMEN")</f>
        <v xml:space="preserve">          6234 - EXPENDABLE SUPPLIES &amp; EQUIPMEN</v>
      </c>
      <c r="C209" s="11"/>
      <c r="D209" s="6">
        <v>255.78</v>
      </c>
      <c r="E209" s="2"/>
      <c r="F209" s="7">
        <f t="shared" si="101"/>
        <v>1.1568561581344302E-4</v>
      </c>
      <c r="G209" s="2"/>
      <c r="H209" s="6">
        <v>7250</v>
      </c>
      <c r="I209" s="2"/>
      <c r="J209" s="7">
        <f t="shared" si="102"/>
        <v>2.613960568494961E-3</v>
      </c>
      <c r="K209" s="2"/>
      <c r="L209" s="6">
        <f t="shared" si="103"/>
        <v>-6994.22</v>
      </c>
      <c r="M209" s="2"/>
      <c r="N209" s="7">
        <f t="shared" si="104"/>
        <v>-0.96472000000000002</v>
      </c>
      <c r="O209" s="11"/>
      <c r="P209" s="6">
        <v>255.78</v>
      </c>
      <c r="Q209" s="2"/>
      <c r="R209" s="7">
        <f t="shared" si="105"/>
        <v>9.5159776009557504E-5</v>
      </c>
      <c r="S209" s="2"/>
      <c r="T209" s="6">
        <v>14500</v>
      </c>
      <c r="U209" s="2"/>
      <c r="V209" s="7">
        <f t="shared" si="106"/>
        <v>4.1860016640078339E-3</v>
      </c>
      <c r="W209" s="2"/>
      <c r="X209" s="6">
        <f t="shared" si="107"/>
        <v>-14244.22</v>
      </c>
      <c r="Y209" s="2"/>
      <c r="Z209" s="7">
        <f t="shared" si="108"/>
        <v>-0.9823599999999999</v>
      </c>
    </row>
    <row r="210" spans="1:26" s="24" customFormat="1" hidden="1" outlineLevel="2" x14ac:dyDescent="0.25">
      <c r="A210" s="27"/>
      <c r="B210" s="11" t="str">
        <f>CONCATENATE("          ", "6235", " - ", "COVID-19 EXPENSES")</f>
        <v xml:space="preserve">          6235 - COVID-19 EXPENSES</v>
      </c>
      <c r="C210" s="11"/>
      <c r="D210" s="6">
        <v>9615.5400000000009</v>
      </c>
      <c r="E210" s="2"/>
      <c r="F210" s="7">
        <f t="shared" si="101"/>
        <v>4.3489704678973881E-3</v>
      </c>
      <c r="G210" s="2"/>
      <c r="H210" s="6">
        <v>43800</v>
      </c>
      <c r="I210" s="2"/>
      <c r="J210" s="7">
        <f t="shared" si="102"/>
        <v>1.5791927296562661E-2</v>
      </c>
      <c r="K210" s="2"/>
      <c r="L210" s="6">
        <f t="shared" si="103"/>
        <v>-34184.46</v>
      </c>
      <c r="M210" s="2"/>
      <c r="N210" s="7">
        <f t="shared" si="104"/>
        <v>-0.78046712328767121</v>
      </c>
      <c r="O210" s="11"/>
      <c r="P210" s="6">
        <v>22004.98</v>
      </c>
      <c r="Q210" s="2"/>
      <c r="R210" s="7">
        <f t="shared" si="105"/>
        <v>8.1866798338212244E-3</v>
      </c>
      <c r="S210" s="2"/>
      <c r="T210" s="6">
        <v>49300</v>
      </c>
      <c r="U210" s="2"/>
      <c r="V210" s="7">
        <f t="shared" si="106"/>
        <v>1.4232405657626635E-2</v>
      </c>
      <c r="W210" s="2"/>
      <c r="X210" s="6">
        <f t="shared" si="107"/>
        <v>-27295.02</v>
      </c>
      <c r="Y210" s="2"/>
      <c r="Z210" s="7">
        <f t="shared" si="108"/>
        <v>-0.55365152129817441</v>
      </c>
    </row>
    <row r="211" spans="1:26" s="24" customFormat="1" hidden="1" outlineLevel="2" x14ac:dyDescent="0.25">
      <c r="A211" s="27"/>
      <c r="B211" s="11" t="str">
        <f>CONCATENATE("          ", "6237", " - ", "JANITORIAL SUPPLIES")</f>
        <v xml:space="preserve">          6237 - JANITORIAL SUPPLIES</v>
      </c>
      <c r="C211" s="11"/>
      <c r="D211" s="6">
        <v>1416.91</v>
      </c>
      <c r="E211" s="2"/>
      <c r="F211" s="7">
        <f t="shared" si="101"/>
        <v>6.408480174455608E-4</v>
      </c>
      <c r="G211" s="2"/>
      <c r="H211" s="6">
        <v>10979</v>
      </c>
      <c r="I211" s="2"/>
      <c r="J211" s="7">
        <f t="shared" si="102"/>
        <v>3.9584376664146452E-3</v>
      </c>
      <c r="K211" s="2"/>
      <c r="L211" s="6">
        <f t="shared" si="103"/>
        <v>-9562.09</v>
      </c>
      <c r="M211" s="2"/>
      <c r="N211" s="7">
        <f t="shared" si="104"/>
        <v>-0.87094361963748979</v>
      </c>
      <c r="O211" s="11"/>
      <c r="P211" s="6">
        <v>2744.26</v>
      </c>
      <c r="Q211" s="2"/>
      <c r="R211" s="7">
        <f t="shared" si="105"/>
        <v>1.0209678900304491E-3</v>
      </c>
      <c r="S211" s="2"/>
      <c r="T211" s="6">
        <v>15762</v>
      </c>
      <c r="U211" s="2"/>
      <c r="V211" s="7">
        <f t="shared" si="106"/>
        <v>4.5503281536614813E-3</v>
      </c>
      <c r="W211" s="2"/>
      <c r="X211" s="6">
        <f t="shared" si="107"/>
        <v>-13017.74</v>
      </c>
      <c r="Y211" s="2"/>
      <c r="Z211" s="7">
        <f t="shared" si="108"/>
        <v>-0.82589392209110513</v>
      </c>
    </row>
    <row r="212" spans="1:26" s="24" customFormat="1" hidden="1" outlineLevel="2" x14ac:dyDescent="0.25">
      <c r="A212" s="27"/>
      <c r="B212" s="11" t="str">
        <f>CONCATENATE("          ", "6239", " - ", "KITCHEN SUPPLIES")</f>
        <v xml:space="preserve">          6239 - KITCHEN SUPPLIES</v>
      </c>
      <c r="C212" s="11"/>
      <c r="D212" s="6">
        <v>2324.31</v>
      </c>
      <c r="E212" s="2"/>
      <c r="F212" s="7">
        <f t="shared" si="101"/>
        <v>1.0512519887846733E-3</v>
      </c>
      <c r="G212" s="2"/>
      <c r="H212" s="6">
        <v>2373</v>
      </c>
      <c r="I212" s="2"/>
      <c r="J212" s="7">
        <f t="shared" si="102"/>
        <v>8.5557633503979889E-4</v>
      </c>
      <c r="K212" s="2"/>
      <c r="L212" s="6">
        <f t="shared" si="103"/>
        <v>-48.690000000000055</v>
      </c>
      <c r="M212" s="2"/>
      <c r="N212" s="7">
        <f t="shared" si="104"/>
        <v>-2.0518331226295851E-2</v>
      </c>
      <c r="O212" s="11"/>
      <c r="P212" s="6">
        <v>2374.31</v>
      </c>
      <c r="Q212" s="2"/>
      <c r="R212" s="7">
        <f t="shared" si="105"/>
        <v>8.8333258181739181E-4</v>
      </c>
      <c r="S212" s="2"/>
      <c r="T212" s="6">
        <v>3936</v>
      </c>
      <c r="U212" s="2"/>
      <c r="V212" s="7">
        <f t="shared" si="106"/>
        <v>1.1362829344506783E-3</v>
      </c>
      <c r="W212" s="2"/>
      <c r="X212" s="6">
        <f t="shared" si="107"/>
        <v>-1561.69</v>
      </c>
      <c r="Y212" s="2"/>
      <c r="Z212" s="7">
        <f t="shared" si="108"/>
        <v>-0.39677083333333335</v>
      </c>
    </row>
    <row r="213" spans="1:26" s="24" customFormat="1" hidden="1" outlineLevel="2" x14ac:dyDescent="0.25">
      <c r="A213" s="27"/>
      <c r="B213" s="11" t="str">
        <f>CONCATENATE("          ", "6241", " - ", "OFFICE EXPENSE")</f>
        <v xml:space="preserve">          6241 - OFFICE EXPENSE</v>
      </c>
      <c r="C213" s="11"/>
      <c r="D213" s="6">
        <v>9177.66</v>
      </c>
      <c r="E213" s="2"/>
      <c r="F213" s="7">
        <f t="shared" si="101"/>
        <v>4.150923640731892E-3</v>
      </c>
      <c r="G213" s="2"/>
      <c r="H213" s="6">
        <v>6600</v>
      </c>
      <c r="I213" s="2"/>
      <c r="J213" s="7">
        <f t="shared" si="102"/>
        <v>2.3796054830436883E-3</v>
      </c>
      <c r="K213" s="2"/>
      <c r="L213" s="6">
        <f t="shared" si="103"/>
        <v>2577.66</v>
      </c>
      <c r="M213" s="2"/>
      <c r="N213" s="7">
        <f t="shared" si="104"/>
        <v>0.39055454545454543</v>
      </c>
      <c r="O213" s="11"/>
      <c r="P213" s="6">
        <v>9667.4599999999991</v>
      </c>
      <c r="Q213" s="2"/>
      <c r="R213" s="7">
        <f t="shared" si="105"/>
        <v>3.5966585666641513E-3</v>
      </c>
      <c r="S213" s="2"/>
      <c r="T213" s="6">
        <v>7954</v>
      </c>
      <c r="U213" s="2"/>
      <c r="V213" s="7">
        <f t="shared" si="106"/>
        <v>2.2962384300357457E-3</v>
      </c>
      <c r="W213" s="2"/>
      <c r="X213" s="6">
        <f t="shared" si="107"/>
        <v>1713.4599999999991</v>
      </c>
      <c r="Y213" s="2"/>
      <c r="Z213" s="7">
        <f t="shared" si="108"/>
        <v>0.21542117173749045</v>
      </c>
    </row>
    <row r="214" spans="1:26" s="24" customFormat="1" hidden="1" outlineLevel="2" x14ac:dyDescent="0.25">
      <c r="A214" s="27"/>
      <c r="B214" s="11" t="str">
        <f>CONCATENATE("          ", "6243", " - ", "PAPER SUPPLIES")</f>
        <v xml:space="preserve">          6243 - PAPER SUPPLIES</v>
      </c>
      <c r="C214" s="11"/>
      <c r="D214" s="6">
        <v>5056.9799999999996</v>
      </c>
      <c r="E214" s="2"/>
      <c r="F214" s="7">
        <f t="shared" si="101"/>
        <v>2.2871993332405386E-3</v>
      </c>
      <c r="G214" s="2"/>
      <c r="H214" s="6">
        <v>2744</v>
      </c>
      <c r="I214" s="2"/>
      <c r="J214" s="7">
        <f t="shared" si="102"/>
        <v>9.8933900688967904E-4</v>
      </c>
      <c r="K214" s="2"/>
      <c r="L214" s="6">
        <f t="shared" si="103"/>
        <v>2312.9799999999996</v>
      </c>
      <c r="M214" s="2"/>
      <c r="N214" s="7">
        <f t="shared" si="104"/>
        <v>0.84292274052478122</v>
      </c>
      <c r="O214" s="11"/>
      <c r="P214" s="6">
        <v>6784.86</v>
      </c>
      <c r="Q214" s="2"/>
      <c r="R214" s="7">
        <f t="shared" si="105"/>
        <v>2.5242229957627895E-3</v>
      </c>
      <c r="S214" s="2"/>
      <c r="T214" s="6">
        <v>4353</v>
      </c>
      <c r="U214" s="2"/>
      <c r="V214" s="7">
        <f t="shared" si="106"/>
        <v>1.2566665685121449E-3</v>
      </c>
      <c r="W214" s="2"/>
      <c r="X214" s="6">
        <f t="shared" si="107"/>
        <v>2431.8599999999997</v>
      </c>
      <c r="Y214" s="2"/>
      <c r="Z214" s="7">
        <f t="shared" si="108"/>
        <v>0.55866299104066153</v>
      </c>
    </row>
    <row r="215" spans="1:26" s="24" customFormat="1" hidden="1" outlineLevel="2" x14ac:dyDescent="0.25">
      <c r="A215" s="27"/>
      <c r="B215" s="11" t="str">
        <f>CONCATENATE("          ", "6244", " - ", "SAFETY SUPPLY EXPENSE")</f>
        <v xml:space="preserve">          6244 - SAFETY SUPPLY EXPENSE</v>
      </c>
      <c r="C215" s="11"/>
      <c r="D215" s="6"/>
      <c r="E215" s="2"/>
      <c r="F215" s="7">
        <f t="shared" si="101"/>
        <v>0</v>
      </c>
      <c r="G215" s="2"/>
      <c r="H215" s="6">
        <v>100</v>
      </c>
      <c r="I215" s="2"/>
      <c r="J215" s="7">
        <f t="shared" si="102"/>
        <v>3.6054628530964977E-5</v>
      </c>
      <c r="K215" s="2"/>
      <c r="L215" s="6">
        <f t="shared" si="103"/>
        <v>-100</v>
      </c>
      <c r="M215" s="2"/>
      <c r="N215" s="7">
        <f t="shared" si="104"/>
        <v>-1</v>
      </c>
      <c r="O215" s="11"/>
      <c r="P215" s="6"/>
      <c r="Q215" s="2"/>
      <c r="R215" s="7">
        <f t="shared" si="105"/>
        <v>0</v>
      </c>
      <c r="S215" s="2"/>
      <c r="T215" s="6">
        <v>305</v>
      </c>
      <c r="U215" s="2"/>
      <c r="V215" s="7">
        <f t="shared" si="106"/>
        <v>8.8050379829130305E-5</v>
      </c>
      <c r="W215" s="2"/>
      <c r="X215" s="6">
        <f t="shared" si="107"/>
        <v>-305</v>
      </c>
      <c r="Y215" s="2"/>
      <c r="Z215" s="7">
        <f t="shared" si="108"/>
        <v>-1</v>
      </c>
    </row>
    <row r="216" spans="1:26" s="24" customFormat="1" hidden="1" outlineLevel="2" x14ac:dyDescent="0.25">
      <c r="A216" s="27"/>
      <c r="B216" s="11" t="str">
        <f>CONCATENATE("          ", "6245", " - ", "PRINTING")</f>
        <v xml:space="preserve">          6245 - PRINTING</v>
      </c>
      <c r="C216" s="11"/>
      <c r="D216" s="6">
        <v>1248</v>
      </c>
      <c r="E216" s="2"/>
      <c r="F216" s="7">
        <f t="shared" si="101"/>
        <v>5.6445245341769056E-4</v>
      </c>
      <c r="G216" s="2"/>
      <c r="H216" s="6">
        <v>1400</v>
      </c>
      <c r="I216" s="2"/>
      <c r="J216" s="7">
        <f t="shared" si="102"/>
        <v>5.0476479943350973E-4</v>
      </c>
      <c r="K216" s="2"/>
      <c r="L216" s="6">
        <f t="shared" si="103"/>
        <v>-152</v>
      </c>
      <c r="M216" s="2"/>
      <c r="N216" s="7">
        <f t="shared" si="104"/>
        <v>-0.10857142857142857</v>
      </c>
      <c r="O216" s="11"/>
      <c r="P216" s="6">
        <v>-295.5</v>
      </c>
      <c r="Q216" s="2"/>
      <c r="R216" s="7">
        <f t="shared" si="105"/>
        <v>-1.0993710927681695E-4</v>
      </c>
      <c r="S216" s="2"/>
      <c r="T216" s="6">
        <v>2400</v>
      </c>
      <c r="U216" s="2"/>
      <c r="V216" s="7">
        <f t="shared" si="106"/>
        <v>6.9285544783577945E-4</v>
      </c>
      <c r="W216" s="2"/>
      <c r="X216" s="6">
        <f t="shared" si="107"/>
        <v>-2695.5</v>
      </c>
      <c r="Y216" s="2"/>
      <c r="Z216" s="7">
        <f t="shared" si="108"/>
        <v>-1.1231249999999999</v>
      </c>
    </row>
    <row r="217" spans="1:26" s="24" customFormat="1" hidden="1" outlineLevel="2" x14ac:dyDescent="0.25">
      <c r="A217" s="27"/>
      <c r="B217" s="11" t="str">
        <f>CONCATENATE("          ", "6246", " - ", "REPLACEMENTS")</f>
        <v xml:space="preserve">          6246 - REPLACEMENTS</v>
      </c>
      <c r="C217" s="11"/>
      <c r="D217" s="6"/>
      <c r="E217" s="2"/>
      <c r="F217" s="7">
        <f t="shared" si="101"/>
        <v>0</v>
      </c>
      <c r="G217" s="2"/>
      <c r="H217" s="6">
        <v>0</v>
      </c>
      <c r="I217" s="2"/>
      <c r="J217" s="7">
        <f t="shared" si="102"/>
        <v>0</v>
      </c>
      <c r="K217" s="2"/>
      <c r="L217" s="6">
        <f t="shared" si="103"/>
        <v>0</v>
      </c>
      <c r="M217" s="2"/>
      <c r="N217" s="7">
        <f t="shared" si="104"/>
        <v>0</v>
      </c>
      <c r="O217" s="11"/>
      <c r="P217" s="6"/>
      <c r="Q217" s="2"/>
      <c r="R217" s="7">
        <f t="shared" si="105"/>
        <v>0</v>
      </c>
      <c r="S217" s="2"/>
      <c r="T217" s="6">
        <v>0</v>
      </c>
      <c r="U217" s="2"/>
      <c r="V217" s="7">
        <f t="shared" si="106"/>
        <v>0</v>
      </c>
      <c r="W217" s="2"/>
      <c r="X217" s="6">
        <f t="shared" si="107"/>
        <v>0</v>
      </c>
      <c r="Y217" s="2"/>
      <c r="Z217" s="7">
        <f t="shared" si="108"/>
        <v>0</v>
      </c>
    </row>
    <row r="218" spans="1:26" s="24" customFormat="1" hidden="1" outlineLevel="2" x14ac:dyDescent="0.25">
      <c r="A218" s="27"/>
      <c r="B218" s="11" t="str">
        <f>CONCATENATE("          ", "6247", " - ", "STORE SUPPLIES")</f>
        <v xml:space="preserve">          6247 - STORE SUPPLIES</v>
      </c>
      <c r="C218" s="11"/>
      <c r="D218" s="6">
        <v>1890.32</v>
      </c>
      <c r="E218" s="2"/>
      <c r="F218" s="7">
        <f t="shared" si="101"/>
        <v>8.5496455267991078E-4</v>
      </c>
      <c r="G218" s="2"/>
      <c r="H218" s="6">
        <v>4616</v>
      </c>
      <c r="I218" s="2"/>
      <c r="J218" s="7">
        <f t="shared" si="102"/>
        <v>1.6642816529893432E-3</v>
      </c>
      <c r="K218" s="2"/>
      <c r="L218" s="6">
        <f t="shared" si="103"/>
        <v>-2725.6800000000003</v>
      </c>
      <c r="M218" s="2"/>
      <c r="N218" s="7">
        <f t="shared" si="104"/>
        <v>-0.59048526863084927</v>
      </c>
      <c r="O218" s="11"/>
      <c r="P218" s="6">
        <v>7291.91</v>
      </c>
      <c r="Q218" s="2"/>
      <c r="R218" s="7">
        <f t="shared" si="105"/>
        <v>2.7128646582291519E-3</v>
      </c>
      <c r="S218" s="2"/>
      <c r="T218" s="6">
        <v>8228</v>
      </c>
      <c r="U218" s="2"/>
      <c r="V218" s="7">
        <f t="shared" si="106"/>
        <v>2.375339426996997E-3</v>
      </c>
      <c r="W218" s="2"/>
      <c r="X218" s="6">
        <f t="shared" si="107"/>
        <v>-936.09000000000015</v>
      </c>
      <c r="Y218" s="2"/>
      <c r="Z218" s="7">
        <f t="shared" si="108"/>
        <v>-0.11376883811375792</v>
      </c>
    </row>
    <row r="219" spans="1:26" s="24" customFormat="1" hidden="1" outlineLevel="2" x14ac:dyDescent="0.25">
      <c r="A219" s="27"/>
      <c r="B219" s="11" t="str">
        <f>CONCATENATE("          ", "6248", " - ", "UNIFORMS")</f>
        <v xml:space="preserve">          6248 - UNIFORMS</v>
      </c>
      <c r="C219" s="11"/>
      <c r="D219" s="6">
        <v>3510.98</v>
      </c>
      <c r="E219" s="2"/>
      <c r="F219" s="7">
        <f t="shared" si="101"/>
        <v>1.5879657651445857E-3</v>
      </c>
      <c r="G219" s="2"/>
      <c r="H219" s="6">
        <v>2200</v>
      </c>
      <c r="I219" s="2"/>
      <c r="J219" s="7">
        <f t="shared" si="102"/>
        <v>7.9320182768122954E-4</v>
      </c>
      <c r="K219" s="2"/>
      <c r="L219" s="6">
        <f t="shared" si="103"/>
        <v>1310.98</v>
      </c>
      <c r="M219" s="2"/>
      <c r="N219" s="7">
        <f t="shared" si="104"/>
        <v>0.59589999999999999</v>
      </c>
      <c r="O219" s="11"/>
      <c r="P219" s="6">
        <v>3510.98</v>
      </c>
      <c r="Q219" s="2"/>
      <c r="R219" s="7">
        <f t="shared" si="105"/>
        <v>1.3062165547503175E-3</v>
      </c>
      <c r="S219" s="2"/>
      <c r="T219" s="6">
        <v>7050</v>
      </c>
      <c r="U219" s="2"/>
      <c r="V219" s="7">
        <f t="shared" si="106"/>
        <v>2.0352628780176021E-3</v>
      </c>
      <c r="W219" s="2"/>
      <c r="X219" s="6">
        <f t="shared" si="107"/>
        <v>-3539.02</v>
      </c>
      <c r="Y219" s="2"/>
      <c r="Z219" s="7">
        <f t="shared" si="108"/>
        <v>-0.50198865248226954</v>
      </c>
    </row>
    <row r="220" spans="1:26" s="29" customFormat="1" outlineLevel="1" collapsed="1" x14ac:dyDescent="0.25">
      <c r="A220" s="28"/>
      <c r="B220" s="14" t="str">
        <f>CONCATENATE("     ","Telephone/Data Lines                              ")</f>
        <v xml:space="preserve">     Telephone/Data Lines                              </v>
      </c>
      <c r="C220" s="14"/>
      <c r="D220" s="1">
        <f>SUM(OSRRefD22_23x_0)</f>
        <v>4790.92</v>
      </c>
      <c r="E220" s="1"/>
      <c r="F220" s="5">
        <f t="shared" ref="F220:F222" si="109">IF(D$12=0,0,D220/D$12)</f>
        <v>2.1668642212563155E-3</v>
      </c>
      <c r="G220" s="1"/>
      <c r="H220" s="1">
        <f>SUM(OSRRefH22_23x_0)</f>
        <v>4855</v>
      </c>
      <c r="I220" s="1"/>
      <c r="J220" s="5">
        <f t="shared" ref="J220:J222" si="110">IF(H$12=0,0,H220/H$12)</f>
        <v>1.7504522151783495E-3</v>
      </c>
      <c r="K220" s="1"/>
      <c r="L220" s="1">
        <f t="shared" ref="L220:L222" si="111">+D220-H220</f>
        <v>-64.079999999999927</v>
      </c>
      <c r="M220" s="1"/>
      <c r="N220" s="5">
        <f t="shared" ref="N220:N222" si="112">IF(H220=0,0,L220/H220)</f>
        <v>-1.3198764160659099E-2</v>
      </c>
      <c r="O220" s="14"/>
      <c r="P220" s="1">
        <f>SUM(OSRRefP22_23x_0)</f>
        <v>9849.0300000000007</v>
      </c>
      <c r="Q220" s="1"/>
      <c r="R220" s="5">
        <f t="shared" ref="R220:R222" si="113">IF(P$12=0,0,P220/P$12)</f>
        <v>3.664209432760232E-3</v>
      </c>
      <c r="S220" s="1"/>
      <c r="T220" s="1">
        <f>SUM(OSRRefT22_23x_0)</f>
        <v>9559</v>
      </c>
      <c r="U220" s="1"/>
      <c r="V220" s="5">
        <f t="shared" ref="V220:V222" si="114">IF(T$12=0,0,T220/T$12)</f>
        <v>2.759585510775923E-3</v>
      </c>
      <c r="W220" s="1"/>
      <c r="X220" s="1">
        <f t="shared" ref="X220:X222" si="115">+P220-T220</f>
        <v>290.03000000000065</v>
      </c>
      <c r="Y220" s="1"/>
      <c r="Z220" s="5">
        <f t="shared" ref="Z220:Z222" si="116">IF(T220=0,0,X220/T220)</f>
        <v>3.0341039857725773E-2</v>
      </c>
    </row>
    <row r="221" spans="1:26" s="24" customFormat="1" hidden="1" outlineLevel="2" x14ac:dyDescent="0.25">
      <c r="A221" s="27"/>
      <c r="B221" s="11" t="str">
        <f>CONCATENATE("          ", "6303", " - ", "DATA PHONE LINES")</f>
        <v xml:space="preserve">          6303 - DATA PHONE LINES</v>
      </c>
      <c r="C221" s="11"/>
      <c r="D221" s="6"/>
      <c r="E221" s="2"/>
      <c r="F221" s="7">
        <f t="shared" si="109"/>
        <v>0</v>
      </c>
      <c r="G221" s="2"/>
      <c r="H221" s="6">
        <v>1515</v>
      </c>
      <c r="I221" s="2"/>
      <c r="J221" s="7">
        <f t="shared" si="110"/>
        <v>5.4622762224411944E-4</v>
      </c>
      <c r="K221" s="2"/>
      <c r="L221" s="6">
        <f t="shared" si="111"/>
        <v>-1515</v>
      </c>
      <c r="M221" s="2"/>
      <c r="N221" s="7">
        <f t="shared" si="112"/>
        <v>-1</v>
      </c>
      <c r="O221" s="11"/>
      <c r="P221" s="6">
        <v>295</v>
      </c>
      <c r="Q221" s="2"/>
      <c r="R221" s="7">
        <f t="shared" si="113"/>
        <v>1.0975109047939425E-4</v>
      </c>
      <c r="S221" s="2"/>
      <c r="T221" s="6">
        <v>2969</v>
      </c>
      <c r="U221" s="2"/>
      <c r="V221" s="7">
        <f t="shared" si="114"/>
        <v>8.5711992692684544E-4</v>
      </c>
      <c r="W221" s="2"/>
      <c r="X221" s="6">
        <f t="shared" si="115"/>
        <v>-2674</v>
      </c>
      <c r="Y221" s="2"/>
      <c r="Z221" s="7">
        <f t="shared" si="116"/>
        <v>-0.90063994610980125</v>
      </c>
    </row>
    <row r="222" spans="1:26" s="24" customFormat="1" hidden="1" outlineLevel="2" x14ac:dyDescent="0.25">
      <c r="A222" s="27"/>
      <c r="B222" s="11" t="str">
        <f>CONCATENATE("          ", "6309", " - ", "TELEPHONE")</f>
        <v xml:space="preserve">          6309 - TELEPHONE</v>
      </c>
      <c r="C222" s="11"/>
      <c r="D222" s="6">
        <v>4790.92</v>
      </c>
      <c r="E222" s="2"/>
      <c r="F222" s="7">
        <f t="shared" si="109"/>
        <v>2.1668642212563155E-3</v>
      </c>
      <c r="G222" s="2"/>
      <c r="H222" s="6">
        <v>3340</v>
      </c>
      <c r="I222" s="2"/>
      <c r="J222" s="7">
        <f t="shared" si="110"/>
        <v>1.2042245929342302E-3</v>
      </c>
      <c r="K222" s="2"/>
      <c r="L222" s="6">
        <f t="shared" si="111"/>
        <v>1450.92</v>
      </c>
      <c r="M222" s="2"/>
      <c r="N222" s="7">
        <f t="shared" si="112"/>
        <v>0.43440718562874253</v>
      </c>
      <c r="O222" s="11"/>
      <c r="P222" s="6">
        <v>9554.0300000000007</v>
      </c>
      <c r="Q222" s="2"/>
      <c r="R222" s="7">
        <f t="shared" si="113"/>
        <v>3.5544583422808377E-3</v>
      </c>
      <c r="S222" s="2"/>
      <c r="T222" s="6">
        <v>6590</v>
      </c>
      <c r="U222" s="2"/>
      <c r="V222" s="7">
        <f t="shared" si="114"/>
        <v>1.9024655838490777E-3</v>
      </c>
      <c r="W222" s="2"/>
      <c r="X222" s="6">
        <f t="shared" si="115"/>
        <v>2964.0300000000007</v>
      </c>
      <c r="Y222" s="2"/>
      <c r="Z222" s="7">
        <f t="shared" si="116"/>
        <v>0.44977693474962072</v>
      </c>
    </row>
    <row r="223" spans="1:26" s="29" customFormat="1" outlineLevel="1" collapsed="1" x14ac:dyDescent="0.25">
      <c r="A223" s="28"/>
      <c r="B223" s="14" t="str">
        <f>CONCATENATE("     ","Training                                          ")</f>
        <v xml:space="preserve">     Training                                          </v>
      </c>
      <c r="C223" s="14"/>
      <c r="D223" s="1">
        <f>SUM(OSRRefD22_24x_0)</f>
        <v>350</v>
      </c>
      <c r="E223" s="1"/>
      <c r="F223" s="5">
        <f t="shared" ref="F223:F228" si="117">IF(D$12=0,0,D223/D$12)</f>
        <v>1.5829996690399975E-4</v>
      </c>
      <c r="G223" s="1"/>
      <c r="H223" s="1">
        <f>SUM(OSRRefH22_24x_0)</f>
        <v>930</v>
      </c>
      <c r="I223" s="1"/>
      <c r="J223" s="5">
        <f t="shared" ref="J223:J228" si="118">IF(H$12=0,0,H223/H$12)</f>
        <v>3.353080453379743E-4</v>
      </c>
      <c r="K223" s="1"/>
      <c r="L223" s="1">
        <f t="shared" ref="L223:L228" si="119">+D223-H223</f>
        <v>-580</v>
      </c>
      <c r="M223" s="1"/>
      <c r="N223" s="5">
        <f t="shared" ref="N223:N228" si="120">IF(H223=0,0,L223/H223)</f>
        <v>-0.62365591397849462</v>
      </c>
      <c r="O223" s="14"/>
      <c r="P223" s="1">
        <f>SUM(OSRRefP22_24x_0)</f>
        <v>481.63</v>
      </c>
      <c r="Q223" s="1"/>
      <c r="R223" s="5">
        <f t="shared" ref="R223:R228" si="121">IF(P$12=0,0,P223/P$12)</f>
        <v>1.7918446680539204E-4</v>
      </c>
      <c r="S223" s="1"/>
      <c r="T223" s="1">
        <f>SUM(OSRRefT22_24x_0)</f>
        <v>1330</v>
      </c>
      <c r="U223" s="1"/>
      <c r="V223" s="5">
        <f t="shared" ref="V223:V228" si="122">IF(T$12=0,0,T223/T$12)</f>
        <v>3.8395739400899441E-4</v>
      </c>
      <c r="W223" s="1"/>
      <c r="X223" s="1">
        <f t="shared" ref="X223:X228" si="123">+P223-T223</f>
        <v>-848.37</v>
      </c>
      <c r="Y223" s="1"/>
      <c r="Z223" s="5">
        <f t="shared" ref="Z223:Z228" si="124">IF(T223=0,0,X223/T223)</f>
        <v>-0.63787218045112781</v>
      </c>
    </row>
    <row r="224" spans="1:26" s="24" customFormat="1" hidden="1" outlineLevel="2" x14ac:dyDescent="0.25">
      <c r="A224" s="27"/>
      <c r="B224" s="11" t="str">
        <f>CONCATENATE("          ", "6376", " - ", "TRAINING")</f>
        <v xml:space="preserve">          6376 - TRAINING</v>
      </c>
      <c r="C224" s="11"/>
      <c r="D224" s="6">
        <v>350</v>
      </c>
      <c r="E224" s="2"/>
      <c r="F224" s="7">
        <f t="shared" si="117"/>
        <v>1.5829996690399975E-4</v>
      </c>
      <c r="G224" s="2"/>
      <c r="H224" s="6">
        <v>930</v>
      </c>
      <c r="I224" s="2"/>
      <c r="J224" s="7">
        <f t="shared" si="118"/>
        <v>3.353080453379743E-4</v>
      </c>
      <c r="K224" s="2"/>
      <c r="L224" s="6">
        <f t="shared" si="119"/>
        <v>-580</v>
      </c>
      <c r="M224" s="2"/>
      <c r="N224" s="7">
        <f t="shared" si="120"/>
        <v>-0.62365591397849462</v>
      </c>
      <c r="O224" s="11"/>
      <c r="P224" s="6">
        <v>481.63</v>
      </c>
      <c r="Q224" s="2"/>
      <c r="R224" s="7">
        <f t="shared" si="121"/>
        <v>1.7918446680539204E-4</v>
      </c>
      <c r="S224" s="2"/>
      <c r="T224" s="6">
        <v>1330</v>
      </c>
      <c r="U224" s="2"/>
      <c r="V224" s="7">
        <f t="shared" si="122"/>
        <v>3.8395739400899441E-4</v>
      </c>
      <c r="W224" s="2"/>
      <c r="X224" s="6">
        <f t="shared" si="123"/>
        <v>-848.37</v>
      </c>
      <c r="Y224" s="2"/>
      <c r="Z224" s="7">
        <f t="shared" si="124"/>
        <v>-0.63787218045112781</v>
      </c>
    </row>
    <row r="225" spans="1:26" s="29" customFormat="1" outlineLevel="1" collapsed="1" x14ac:dyDescent="0.25">
      <c r="A225" s="28"/>
      <c r="B225" s="14" t="str">
        <f>CONCATENATE("     ","Travel                                            ")</f>
        <v xml:space="preserve">     Travel                                            </v>
      </c>
      <c r="C225" s="14"/>
      <c r="D225" s="1">
        <f>SUM(OSRRefD22_25x_0)</f>
        <v>25.76</v>
      </c>
      <c r="E225" s="1"/>
      <c r="F225" s="5">
        <f t="shared" si="117"/>
        <v>1.1650877564134381E-5</v>
      </c>
      <c r="G225" s="1"/>
      <c r="H225" s="1">
        <f>SUM(OSRRefH22_25x_0)</f>
        <v>350</v>
      </c>
      <c r="I225" s="1"/>
      <c r="J225" s="5">
        <f t="shared" si="118"/>
        <v>1.2619119985837743E-4</v>
      </c>
      <c r="K225" s="1"/>
      <c r="L225" s="1">
        <f t="shared" si="119"/>
        <v>-324.24</v>
      </c>
      <c r="M225" s="1"/>
      <c r="N225" s="5">
        <f t="shared" si="120"/>
        <v>-0.9264</v>
      </c>
      <c r="O225" s="14"/>
      <c r="P225" s="1">
        <f>SUM(OSRRefP22_25x_0)</f>
        <v>480.65999999999997</v>
      </c>
      <c r="Q225" s="1"/>
      <c r="R225" s="5">
        <f t="shared" si="121"/>
        <v>1.7882359033839199E-4</v>
      </c>
      <c r="S225" s="1"/>
      <c r="T225" s="1">
        <f>SUM(OSRRefT22_25x_0)</f>
        <v>700</v>
      </c>
      <c r="U225" s="1"/>
      <c r="V225" s="5">
        <f t="shared" si="122"/>
        <v>2.0208283895210234E-4</v>
      </c>
      <c r="W225" s="1"/>
      <c r="X225" s="1">
        <f t="shared" si="123"/>
        <v>-219.34000000000003</v>
      </c>
      <c r="Y225" s="1"/>
      <c r="Z225" s="5">
        <f t="shared" si="124"/>
        <v>-0.3133428571428572</v>
      </c>
    </row>
    <row r="226" spans="1:26" s="24" customFormat="1" hidden="1" outlineLevel="2" x14ac:dyDescent="0.25">
      <c r="A226" s="27"/>
      <c r="B226" s="11" t="str">
        <f>CONCATENATE("          ", "6292", " - ", "TRAVEL/CONFERENCE")</f>
        <v xml:space="preserve">          6292 - TRAVEL/CONFERENCE</v>
      </c>
      <c r="C226" s="11"/>
      <c r="D226" s="6"/>
      <c r="E226" s="2"/>
      <c r="F226" s="7">
        <f t="shared" si="117"/>
        <v>0</v>
      </c>
      <c r="G226" s="2"/>
      <c r="H226" s="6">
        <v>300</v>
      </c>
      <c r="I226" s="2"/>
      <c r="J226" s="7">
        <f t="shared" si="118"/>
        <v>1.0816388559289493E-4</v>
      </c>
      <c r="K226" s="2"/>
      <c r="L226" s="6">
        <f t="shared" si="119"/>
        <v>-300</v>
      </c>
      <c r="M226" s="2"/>
      <c r="N226" s="7">
        <f t="shared" si="120"/>
        <v>-1</v>
      </c>
      <c r="O226" s="11"/>
      <c r="P226" s="6">
        <v>0.16</v>
      </c>
      <c r="Q226" s="2"/>
      <c r="R226" s="7">
        <f t="shared" si="121"/>
        <v>5.9526015175264684E-8</v>
      </c>
      <c r="S226" s="2"/>
      <c r="T226" s="6">
        <v>600</v>
      </c>
      <c r="U226" s="2"/>
      <c r="V226" s="7">
        <f t="shared" si="122"/>
        <v>1.7321386195894486E-4</v>
      </c>
      <c r="W226" s="2"/>
      <c r="X226" s="6">
        <f t="shared" si="123"/>
        <v>-599.84</v>
      </c>
      <c r="Y226" s="2"/>
      <c r="Z226" s="7">
        <f t="shared" si="124"/>
        <v>-0.99973333333333336</v>
      </c>
    </row>
    <row r="227" spans="1:26" s="24" customFormat="1" hidden="1" outlineLevel="2" x14ac:dyDescent="0.25">
      <c r="A227" s="27"/>
      <c r="B227" s="11" t="str">
        <f>CONCATENATE("          ", "6294", " - ", "TRAVEL OPERATIONAL")</f>
        <v xml:space="preserve">          6294 - TRAVEL OPERATIONAL</v>
      </c>
      <c r="C227" s="11"/>
      <c r="D227" s="6">
        <v>25.76</v>
      </c>
      <c r="E227" s="2"/>
      <c r="F227" s="7">
        <f t="shared" si="117"/>
        <v>1.1650877564134381E-5</v>
      </c>
      <c r="G227" s="2"/>
      <c r="H227" s="6">
        <v>25</v>
      </c>
      <c r="I227" s="2"/>
      <c r="J227" s="7">
        <f t="shared" si="118"/>
        <v>9.0136571327412442E-6</v>
      </c>
      <c r="K227" s="2"/>
      <c r="L227" s="6">
        <f t="shared" si="119"/>
        <v>0.76000000000000156</v>
      </c>
      <c r="M227" s="2"/>
      <c r="N227" s="7">
        <f t="shared" si="120"/>
        <v>3.0400000000000062E-2</v>
      </c>
      <c r="O227" s="11"/>
      <c r="P227" s="6">
        <v>240.92</v>
      </c>
      <c r="Q227" s="2"/>
      <c r="R227" s="7">
        <f t="shared" si="121"/>
        <v>8.9631297350154789E-5</v>
      </c>
      <c r="S227" s="2"/>
      <c r="T227" s="6">
        <v>50</v>
      </c>
      <c r="U227" s="2"/>
      <c r="V227" s="7">
        <f t="shared" si="122"/>
        <v>1.4434488496578738E-5</v>
      </c>
      <c r="W227" s="2"/>
      <c r="X227" s="6">
        <f t="shared" si="123"/>
        <v>190.92</v>
      </c>
      <c r="Y227" s="2"/>
      <c r="Z227" s="7">
        <f t="shared" si="124"/>
        <v>3.8183999999999996</v>
      </c>
    </row>
    <row r="228" spans="1:26" s="24" customFormat="1" hidden="1" outlineLevel="2" x14ac:dyDescent="0.25">
      <c r="A228" s="27"/>
      <c r="B228" s="11" t="str">
        <f>CONCATENATE("          ", "6298", " - ", "VEHICLE MILEAGE")</f>
        <v xml:space="preserve">          6298 - VEHICLE MILEAGE</v>
      </c>
      <c r="C228" s="11"/>
      <c r="D228" s="6"/>
      <c r="E228" s="2"/>
      <c r="F228" s="7">
        <f t="shared" si="117"/>
        <v>0</v>
      </c>
      <c r="G228" s="2"/>
      <c r="H228" s="6">
        <v>25</v>
      </c>
      <c r="I228" s="2"/>
      <c r="J228" s="7">
        <f t="shared" si="118"/>
        <v>9.0136571327412442E-6</v>
      </c>
      <c r="K228" s="2"/>
      <c r="L228" s="6">
        <f t="shared" si="119"/>
        <v>-25</v>
      </c>
      <c r="M228" s="2"/>
      <c r="N228" s="7">
        <f t="shared" si="120"/>
        <v>-1</v>
      </c>
      <c r="O228" s="11"/>
      <c r="P228" s="6">
        <v>239.58</v>
      </c>
      <c r="Q228" s="2"/>
      <c r="R228" s="7">
        <f t="shared" si="121"/>
        <v>8.9132766973061951E-5</v>
      </c>
      <c r="S228" s="2"/>
      <c r="T228" s="6">
        <v>50</v>
      </c>
      <c r="U228" s="2"/>
      <c r="V228" s="7">
        <f t="shared" si="122"/>
        <v>1.4434488496578738E-5</v>
      </c>
      <c r="W228" s="2"/>
      <c r="X228" s="6">
        <f t="shared" si="123"/>
        <v>189.58</v>
      </c>
      <c r="Y228" s="2"/>
      <c r="Z228" s="7">
        <f t="shared" si="124"/>
        <v>3.7916000000000003</v>
      </c>
    </row>
    <row r="229" spans="1:26" s="29" customFormat="1" outlineLevel="1" collapsed="1" x14ac:dyDescent="0.25">
      <c r="A229" s="28"/>
      <c r="B229" s="14" t="str">
        <f>CONCATENATE("     ","Utilities                                         ")</f>
        <v xml:space="preserve">     Utilities                                         </v>
      </c>
      <c r="C229" s="14"/>
      <c r="D229" s="1">
        <f>SUM(OSRRefD22_26x_0)</f>
        <v>8509.91</v>
      </c>
      <c r="E229" s="1"/>
      <c r="F229" s="5">
        <f t="shared" ref="F229:F230" si="125">IF(D$12=0,0,D229/D$12)</f>
        <v>3.8489099181600469E-3</v>
      </c>
      <c r="G229" s="1"/>
      <c r="H229" s="1">
        <f>SUM(OSRRefH22_26x_0)</f>
        <v>9455</v>
      </c>
      <c r="I229" s="1"/>
      <c r="J229" s="5">
        <f t="shared" ref="J229:J230" si="126">IF(H$12=0,0,H229/H$12)</f>
        <v>3.4089651276027386E-3</v>
      </c>
      <c r="K229" s="1"/>
      <c r="L229" s="1">
        <f t="shared" ref="L229:L230" si="127">+D229-H229</f>
        <v>-945.09000000000015</v>
      </c>
      <c r="M229" s="1"/>
      <c r="N229" s="5">
        <f t="shared" ref="N229:N230" si="128">IF(H229=0,0,L229/H229)</f>
        <v>-9.9956636700158655E-2</v>
      </c>
      <c r="O229" s="14"/>
      <c r="P229" s="1">
        <f>SUM(OSRRefP22_26x_0)</f>
        <v>17021.37</v>
      </c>
      <c r="Q229" s="1"/>
      <c r="R229" s="5">
        <f t="shared" ref="R229:R230" si="129">IF(P$12=0,0,P229/P$12)</f>
        <v>6.3325895557737183E-3</v>
      </c>
      <c r="S229" s="1"/>
      <c r="T229" s="1">
        <f>SUM(OSRRefT22_26x_0)</f>
        <v>19681</v>
      </c>
      <c r="U229" s="1"/>
      <c r="V229" s="5">
        <f t="shared" ref="V229:V230" si="130">IF(T$12=0,0,T229/T$12)</f>
        <v>5.6817033620233225E-3</v>
      </c>
      <c r="W229" s="1"/>
      <c r="X229" s="1">
        <f t="shared" ref="X229:X230" si="131">+P229-T229</f>
        <v>-2659.630000000001</v>
      </c>
      <c r="Y229" s="1"/>
      <c r="Z229" s="5">
        <f t="shared" ref="Z229:Z230" si="132">IF(T229=0,0,X229/T229)</f>
        <v>-0.13513693409887714</v>
      </c>
    </row>
    <row r="230" spans="1:26" s="24" customFormat="1" hidden="1" outlineLevel="2" x14ac:dyDescent="0.25">
      <c r="A230" s="27"/>
      <c r="B230" s="11" t="str">
        <f>CONCATENATE("          ", "6274", " - ", "UTILITIES")</f>
        <v xml:space="preserve">          6274 - UTILITIES</v>
      </c>
      <c r="C230" s="11"/>
      <c r="D230" s="6">
        <v>8509.91</v>
      </c>
      <c r="E230" s="2"/>
      <c r="F230" s="7">
        <f t="shared" si="125"/>
        <v>3.8489099181600469E-3</v>
      </c>
      <c r="G230" s="2"/>
      <c r="H230" s="6">
        <v>9455</v>
      </c>
      <c r="I230" s="2"/>
      <c r="J230" s="7">
        <f t="shared" si="126"/>
        <v>3.4089651276027386E-3</v>
      </c>
      <c r="K230" s="2"/>
      <c r="L230" s="6">
        <f t="shared" si="127"/>
        <v>-945.09000000000015</v>
      </c>
      <c r="M230" s="2"/>
      <c r="N230" s="7">
        <f t="shared" si="128"/>
        <v>-9.9956636700158655E-2</v>
      </c>
      <c r="O230" s="11"/>
      <c r="P230" s="6">
        <v>17021.37</v>
      </c>
      <c r="Q230" s="2"/>
      <c r="R230" s="7">
        <f t="shared" si="129"/>
        <v>6.3325895557737183E-3</v>
      </c>
      <c r="S230" s="2"/>
      <c r="T230" s="6">
        <v>19681</v>
      </c>
      <c r="U230" s="2"/>
      <c r="V230" s="7">
        <f t="shared" si="130"/>
        <v>5.6817033620233225E-3</v>
      </c>
      <c r="W230" s="2"/>
      <c r="X230" s="6">
        <f t="shared" si="131"/>
        <v>-2659.630000000001</v>
      </c>
      <c r="Y230" s="2"/>
      <c r="Z230" s="7">
        <f t="shared" si="132"/>
        <v>-0.13513693409887714</v>
      </c>
    </row>
    <row r="231" spans="1:26" s="61" customFormat="1" x14ac:dyDescent="0.25">
      <c r="A231" s="36"/>
      <c r="B231" s="36"/>
      <c r="C231" s="36"/>
      <c r="D231" s="1"/>
      <c r="E231" s="1"/>
      <c r="F231" s="5"/>
      <c r="G231" s="1"/>
      <c r="H231" s="1"/>
      <c r="I231" s="1"/>
      <c r="J231" s="5"/>
      <c r="K231" s="1"/>
      <c r="L231" s="1"/>
      <c r="M231" s="1"/>
      <c r="N231" s="5"/>
      <c r="O231" s="36"/>
      <c r="P231" s="1"/>
      <c r="Q231" s="1"/>
      <c r="R231" s="5"/>
      <c r="S231" s="1"/>
      <c r="T231" s="1"/>
      <c r="U231" s="1"/>
      <c r="V231" s="5"/>
      <c r="W231" s="1"/>
      <c r="X231" s="1"/>
      <c r="Y231" s="1"/>
      <c r="Z231" s="5"/>
    </row>
    <row r="232" spans="1:26" s="22" customFormat="1" collapsed="1" x14ac:dyDescent="0.25">
      <c r="A232" s="10"/>
      <c r="B232" s="25" t="s">
        <v>0</v>
      </c>
      <c r="C232" s="10"/>
      <c r="D232" s="4">
        <f>SUM(OSRRefD25x_0)</f>
        <v>57792.15</v>
      </c>
      <c r="E232" s="4"/>
      <c r="F232" s="12">
        <f t="shared" ref="F232:F239" si="133">IF(D$12=0,0,D232/D$12)</f>
        <v>2.6138558378031397E-2</v>
      </c>
      <c r="G232" s="4"/>
      <c r="H232" s="4">
        <f>SUM(OSRRefH25x_0)</f>
        <v>45314</v>
      </c>
      <c r="I232" s="4"/>
      <c r="J232" s="12">
        <f t="shared" ref="J232:J239" si="134">IF(H$12=0,0,H232/H$12)</f>
        <v>1.6337794372521471E-2</v>
      </c>
      <c r="K232" s="4"/>
      <c r="L232" s="4">
        <f t="shared" ref="L232:L239" si="135">+D232-H232</f>
        <v>12478.150000000001</v>
      </c>
      <c r="M232" s="4"/>
      <c r="N232" s="12">
        <f t="shared" ref="N232:N239" si="136">IF(H232=0,0,L232/H232)</f>
        <v>0.27537074634770714</v>
      </c>
      <c r="O232" s="10"/>
      <c r="P232" s="4">
        <f>SUM(OSRRefP25x_0)</f>
        <v>257530.88</v>
      </c>
      <c r="Q232" s="4"/>
      <c r="R232" s="12">
        <f t="shared" ref="R232:R239" si="137">IF(P$12=0,0,P232/P$12)</f>
        <v>9.5811169193620427E-2</v>
      </c>
      <c r="S232" s="4"/>
      <c r="T232" s="4">
        <f>SUM(OSRRefT25x_0)</f>
        <v>82390</v>
      </c>
      <c r="U232" s="4"/>
      <c r="V232" s="12">
        <f t="shared" ref="V232:V239" si="138">IF(T$12=0,0,T232/T$12)</f>
        <v>2.3785150144662443E-2</v>
      </c>
      <c r="W232" s="4"/>
      <c r="X232" s="4">
        <f t="shared" ref="X232:X239" si="139">+P232-T232</f>
        <v>175140.88</v>
      </c>
      <c r="Y232" s="4"/>
      <c r="Z232" s="12">
        <f t="shared" ref="Z232:Z239" si="140">IF(T232=0,0,X232/T232)</f>
        <v>2.1257540963709189</v>
      </c>
    </row>
    <row r="233" spans="1:26" s="24" customFormat="1" hidden="1" outlineLevel="1" x14ac:dyDescent="0.25">
      <c r="A233" s="51"/>
      <c r="B233" s="11" t="str">
        <f>CONCATENATE("          ", "4187", " - ", "NON-TAXABLE SALES-COMPUTER REP")</f>
        <v xml:space="preserve">          4187 - NON-TAXABLE SALES-COMPUTER REP</v>
      </c>
      <c r="C233" s="11"/>
      <c r="D233" s="2">
        <f>0</f>
        <v>0</v>
      </c>
      <c r="E233" s="2"/>
      <c r="F233" s="23">
        <f t="shared" si="133"/>
        <v>0</v>
      </c>
      <c r="G233" s="2"/>
      <c r="H233" s="2"/>
      <c r="I233" s="2"/>
      <c r="J233" s="23">
        <f t="shared" si="134"/>
        <v>0</v>
      </c>
      <c r="K233" s="2"/>
      <c r="L233" s="2">
        <f t="shared" si="135"/>
        <v>0</v>
      </c>
      <c r="M233" s="2"/>
      <c r="N233" s="23">
        <f t="shared" si="136"/>
        <v>0</v>
      </c>
      <c r="O233" s="11"/>
      <c r="P233" s="2">
        <f>--19.99</f>
        <v>19.989999999999998</v>
      </c>
      <c r="Q233" s="2"/>
      <c r="R233" s="23">
        <f t="shared" si="137"/>
        <v>7.4370315209596308E-6</v>
      </c>
      <c r="S233" s="2"/>
      <c r="T233" s="2"/>
      <c r="U233" s="2"/>
      <c r="V233" s="23">
        <f t="shared" si="138"/>
        <v>0</v>
      </c>
      <c r="W233" s="2"/>
      <c r="X233" s="2">
        <f t="shared" si="139"/>
        <v>19.989999999999998</v>
      </c>
      <c r="Y233" s="2"/>
      <c r="Z233" s="23">
        <f t="shared" si="140"/>
        <v>0</v>
      </c>
    </row>
    <row r="234" spans="1:26" s="24" customFormat="1" hidden="1" outlineLevel="1" x14ac:dyDescent="0.25">
      <c r="A234" s="51"/>
      <c r="B234" s="11" t="str">
        <f>CONCATENATE("          ", "9150", " - ", "MISC. INCOME")</f>
        <v xml:space="preserve">          9150 - MISC. INCOME</v>
      </c>
      <c r="C234" s="11"/>
      <c r="D234" s="2">
        <f>--57093.72</f>
        <v>57093.72</v>
      </c>
      <c r="E234" s="2"/>
      <c r="F234" s="23">
        <f t="shared" si="133"/>
        <v>2.5822668532646368E-2</v>
      </c>
      <c r="G234" s="2"/>
      <c r="H234" s="2">
        <v>30139</v>
      </c>
      <c r="I234" s="2"/>
      <c r="J234" s="23">
        <f t="shared" si="134"/>
        <v>1.0866504492947534E-2</v>
      </c>
      <c r="K234" s="2"/>
      <c r="L234" s="2">
        <f t="shared" si="135"/>
        <v>26954.720000000001</v>
      </c>
      <c r="M234" s="2"/>
      <c r="N234" s="23">
        <f t="shared" si="136"/>
        <v>0.89434685955074822</v>
      </c>
      <c r="O234" s="11"/>
      <c r="P234" s="2">
        <f>--93110.04</f>
        <v>93110.04</v>
      </c>
      <c r="Q234" s="2"/>
      <c r="R234" s="23">
        <f t="shared" si="137"/>
        <v>3.464043533755938E-2</v>
      </c>
      <c r="S234" s="2"/>
      <c r="T234" s="2">
        <v>51840</v>
      </c>
      <c r="U234" s="2"/>
      <c r="V234" s="23">
        <f t="shared" si="138"/>
        <v>1.4965677673252836E-2</v>
      </c>
      <c r="W234" s="2"/>
      <c r="X234" s="2">
        <f t="shared" si="139"/>
        <v>41270.039999999994</v>
      </c>
      <c r="Y234" s="2"/>
      <c r="Z234" s="23">
        <f t="shared" si="140"/>
        <v>0.7961041666666665</v>
      </c>
    </row>
    <row r="235" spans="1:26" s="24" customFormat="1" hidden="1" outlineLevel="1" x14ac:dyDescent="0.25">
      <c r="A235" s="51"/>
      <c r="B235" s="11" t="str">
        <f>CONCATENATE("          ", "9151", " - ", "MISC. INCOME")</f>
        <v xml:space="preserve">          9151 - MISC. INCOME</v>
      </c>
      <c r="C235" s="11"/>
      <c r="D235" s="2">
        <f>0</f>
        <v>0</v>
      </c>
      <c r="E235" s="2"/>
      <c r="F235" s="23">
        <f t="shared" si="133"/>
        <v>0</v>
      </c>
      <c r="G235" s="2"/>
      <c r="H235" s="2">
        <v>15175</v>
      </c>
      <c r="I235" s="2"/>
      <c r="J235" s="23">
        <f t="shared" si="134"/>
        <v>5.4712898795739352E-3</v>
      </c>
      <c r="K235" s="2"/>
      <c r="L235" s="2">
        <f t="shared" si="135"/>
        <v>-15175</v>
      </c>
      <c r="M235" s="2"/>
      <c r="N235" s="23">
        <f t="shared" si="136"/>
        <v>-1</v>
      </c>
      <c r="O235" s="11"/>
      <c r="P235" s="2">
        <f>0</f>
        <v>0</v>
      </c>
      <c r="Q235" s="2"/>
      <c r="R235" s="23">
        <f t="shared" si="137"/>
        <v>0</v>
      </c>
      <c r="S235" s="2"/>
      <c r="T235" s="2">
        <v>30550</v>
      </c>
      <c r="U235" s="2"/>
      <c r="V235" s="23">
        <f t="shared" si="138"/>
        <v>8.8194724714096093E-3</v>
      </c>
      <c r="W235" s="2"/>
      <c r="X235" s="2">
        <f t="shared" si="139"/>
        <v>-30550</v>
      </c>
      <c r="Y235" s="2"/>
      <c r="Z235" s="23">
        <f t="shared" si="140"/>
        <v>-1</v>
      </c>
    </row>
    <row r="236" spans="1:26" s="24" customFormat="1" hidden="1" outlineLevel="1" x14ac:dyDescent="0.25">
      <c r="A236" s="51"/>
      <c r="B236" s="11" t="str">
        <f>CONCATENATE("          ", "9152", " - ", "MISC. INCOME")</f>
        <v xml:space="preserve">          9152 - MISC. INCOME</v>
      </c>
      <c r="C236" s="11"/>
      <c r="D236" s="2">
        <f>--72</f>
        <v>72</v>
      </c>
      <c r="E236" s="2"/>
      <c r="F236" s="23">
        <f t="shared" si="133"/>
        <v>3.2564564620251373E-5</v>
      </c>
      <c r="G236" s="2"/>
      <c r="H236" s="2"/>
      <c r="I236" s="2"/>
      <c r="J236" s="23">
        <f t="shared" si="134"/>
        <v>0</v>
      </c>
      <c r="K236" s="2"/>
      <c r="L236" s="2">
        <f t="shared" si="135"/>
        <v>72</v>
      </c>
      <c r="M236" s="2"/>
      <c r="N236" s="23">
        <f t="shared" si="136"/>
        <v>0</v>
      </c>
      <c r="O236" s="11"/>
      <c r="P236" s="2">
        <f>--1546.39</f>
        <v>1546.39</v>
      </c>
      <c r="Q236" s="2"/>
      <c r="R236" s="23">
        <f t="shared" si="137"/>
        <v>5.7531521629298468E-4</v>
      </c>
      <c r="S236" s="2"/>
      <c r="T236" s="2"/>
      <c r="U236" s="2"/>
      <c r="V236" s="23">
        <f t="shared" si="138"/>
        <v>0</v>
      </c>
      <c r="W236" s="2"/>
      <c r="X236" s="2">
        <f t="shared" si="139"/>
        <v>1546.39</v>
      </c>
      <c r="Y236" s="2"/>
      <c r="Z236" s="23">
        <f t="shared" si="140"/>
        <v>0</v>
      </c>
    </row>
    <row r="237" spans="1:26" s="24" customFormat="1" hidden="1" outlineLevel="1" x14ac:dyDescent="0.25">
      <c r="A237" s="51"/>
      <c r="B237" s="11" t="str">
        <f>CONCATENATE("          ", "9160", " - ", "MISC. INCOME")</f>
        <v xml:space="preserve">          9160 - MISC. INCOME</v>
      </c>
      <c r="C237" s="11"/>
      <c r="D237" s="2">
        <f>--626.43</f>
        <v>626.42999999999995</v>
      </c>
      <c r="E237" s="2"/>
      <c r="F237" s="23">
        <f t="shared" si="133"/>
        <v>2.8332528076477874E-4</v>
      </c>
      <c r="G237" s="2"/>
      <c r="H237" s="2">
        <v>0</v>
      </c>
      <c r="I237" s="2"/>
      <c r="J237" s="23">
        <f t="shared" si="134"/>
        <v>0</v>
      </c>
      <c r="K237" s="2"/>
      <c r="L237" s="2">
        <f t="shared" si="135"/>
        <v>626.42999999999995</v>
      </c>
      <c r="M237" s="2"/>
      <c r="N237" s="23">
        <f t="shared" si="136"/>
        <v>0</v>
      </c>
      <c r="O237" s="11"/>
      <c r="P237" s="2">
        <f>--1990.06</f>
        <v>1990.06</v>
      </c>
      <c r="Q237" s="2"/>
      <c r="R237" s="23">
        <f t="shared" si="137"/>
        <v>7.4037713599804514E-4</v>
      </c>
      <c r="S237" s="2"/>
      <c r="T237" s="2">
        <v>0</v>
      </c>
      <c r="U237" s="2"/>
      <c r="V237" s="23">
        <f t="shared" si="138"/>
        <v>0</v>
      </c>
      <c r="W237" s="2"/>
      <c r="X237" s="2">
        <f t="shared" si="139"/>
        <v>1990.06</v>
      </c>
      <c r="Y237" s="2"/>
      <c r="Z237" s="23">
        <f t="shared" si="140"/>
        <v>0</v>
      </c>
    </row>
    <row r="238" spans="1:26" s="24" customFormat="1" hidden="1" outlineLevel="1" x14ac:dyDescent="0.25">
      <c r="A238" s="51"/>
      <c r="B238" s="11" t="str">
        <f>CONCATENATE("          ", "9163", " - ", "MISC. INCOME")</f>
        <v xml:space="preserve">          9163 - MISC. INCOME</v>
      </c>
      <c r="C238" s="11"/>
      <c r="D238" s="2">
        <f t="shared" ref="D238:D239" si="141">0</f>
        <v>0</v>
      </c>
      <c r="E238" s="2"/>
      <c r="F238" s="23">
        <f t="shared" si="133"/>
        <v>0</v>
      </c>
      <c r="G238" s="2"/>
      <c r="H238" s="2"/>
      <c r="I238" s="2"/>
      <c r="J238" s="23">
        <f t="shared" si="134"/>
        <v>0</v>
      </c>
      <c r="K238" s="2"/>
      <c r="L238" s="2">
        <f t="shared" si="135"/>
        <v>0</v>
      </c>
      <c r="M238" s="2"/>
      <c r="N238" s="23">
        <f t="shared" si="136"/>
        <v>0</v>
      </c>
      <c r="O238" s="11"/>
      <c r="P238" s="2">
        <f>--160663.9</f>
        <v>160663.9</v>
      </c>
      <c r="Q238" s="2"/>
      <c r="R238" s="23">
        <f t="shared" si="137"/>
        <v>5.9773010934482541E-2</v>
      </c>
      <c r="S238" s="2"/>
      <c r="T238" s="2"/>
      <c r="U238" s="2"/>
      <c r="V238" s="23">
        <f t="shared" si="138"/>
        <v>0</v>
      </c>
      <c r="W238" s="2"/>
      <c r="X238" s="2">
        <f t="shared" si="139"/>
        <v>160663.9</v>
      </c>
      <c r="Y238" s="2"/>
      <c r="Z238" s="23">
        <f t="shared" si="140"/>
        <v>0</v>
      </c>
    </row>
    <row r="239" spans="1:26" s="24" customFormat="1" hidden="1" outlineLevel="1" x14ac:dyDescent="0.25">
      <c r="A239" s="51"/>
      <c r="B239" s="11" t="str">
        <f>CONCATENATE("          ", "9165", " - ", "OTHER INCOME")</f>
        <v xml:space="preserve">          9165 - OTHER INCOME</v>
      </c>
      <c r="C239" s="11"/>
      <c r="D239" s="2">
        <f t="shared" si="141"/>
        <v>0</v>
      </c>
      <c r="E239" s="2"/>
      <c r="F239" s="23">
        <f t="shared" si="133"/>
        <v>0</v>
      </c>
      <c r="G239" s="2"/>
      <c r="H239" s="2"/>
      <c r="I239" s="2"/>
      <c r="J239" s="23">
        <f t="shared" si="134"/>
        <v>0</v>
      </c>
      <c r="K239" s="2"/>
      <c r="L239" s="2">
        <f t="shared" si="135"/>
        <v>0</v>
      </c>
      <c r="M239" s="2"/>
      <c r="N239" s="23">
        <f t="shared" si="136"/>
        <v>0</v>
      </c>
      <c r="O239" s="11"/>
      <c r="P239" s="2">
        <f>--200.5</f>
        <v>200.5</v>
      </c>
      <c r="Q239" s="2"/>
      <c r="R239" s="23">
        <f t="shared" si="137"/>
        <v>7.4593537766503551E-5</v>
      </c>
      <c r="S239" s="2"/>
      <c r="T239" s="2"/>
      <c r="U239" s="2"/>
      <c r="V239" s="23">
        <f t="shared" si="138"/>
        <v>0</v>
      </c>
      <c r="W239" s="2"/>
      <c r="X239" s="2">
        <f t="shared" si="139"/>
        <v>200.5</v>
      </c>
      <c r="Y239" s="2"/>
      <c r="Z239" s="23">
        <f t="shared" si="140"/>
        <v>0</v>
      </c>
    </row>
    <row r="240" spans="1:26" x14ac:dyDescent="0.25">
      <c r="A240" s="9"/>
      <c r="B240" s="10"/>
      <c r="C240" s="10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O240" s="10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s="22" customFormat="1" x14ac:dyDescent="0.25">
      <c r="A241" s="10"/>
      <c r="B241" s="26" t="s">
        <v>3</v>
      </c>
      <c r="C241" s="26"/>
      <c r="D241" s="21">
        <f>+D125-D127+D232</f>
        <v>51590.330000000053</v>
      </c>
      <c r="E241" s="13"/>
      <c r="F241" s="20">
        <f>IF(D$12=0,0,D241/D$12)</f>
        <v>2.3333564375904097E-2</v>
      </c>
      <c r="G241" s="13"/>
      <c r="H241" s="21">
        <f>+H125-H127+H232</f>
        <v>29533.908200617414</v>
      </c>
      <c r="I241" s="13"/>
      <c r="J241" s="20">
        <f>IF(H$12=0,0,H241/H$12)</f>
        <v>1.0648340892408811E-2</v>
      </c>
      <c r="K241" s="16"/>
      <c r="L241" s="21">
        <f>+D241-H241</f>
        <v>22056.421799382639</v>
      </c>
      <c r="M241" s="16"/>
      <c r="N241" s="20">
        <f>IF(H241=0,0,L241/H241)</f>
        <v>0.74681690108732524</v>
      </c>
      <c r="O241" s="25"/>
      <c r="P241" s="21">
        <f>+P125-P127+P232</f>
        <v>-308463.36000000022</v>
      </c>
      <c r="Q241" s="13"/>
      <c r="R241" s="20">
        <f>IF(P$12=0,0,P241/P$12)</f>
        <v>-0.11475996655233216</v>
      </c>
      <c r="S241" s="13"/>
      <c r="T241" s="21">
        <f>+T125-T127+T232</f>
        <v>-553797.63750265283</v>
      </c>
      <c r="U241" s="13"/>
      <c r="V241" s="20">
        <f>IF(T$12=0,0,T241/T$12)</f>
        <v>-0.15987571255929048</v>
      </c>
      <c r="W241" s="16"/>
      <c r="X241" s="21">
        <f>+P241-T241</f>
        <v>245334.27750265261</v>
      </c>
      <c r="Y241" s="16"/>
      <c r="Z241" s="20">
        <f>IF(T241=0,0,X241/T241)</f>
        <v>-0.44300347435389231</v>
      </c>
    </row>
    <row r="242" spans="1:26" x14ac:dyDescent="0.25">
      <c r="A242" s="9"/>
      <c r="B242" s="10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2" customFormat="1" x14ac:dyDescent="0.25">
      <c r="A243" s="52"/>
      <c r="B243" s="10" t="s">
        <v>14</v>
      </c>
      <c r="C243" s="10"/>
      <c r="D243" s="4">
        <v>219113.02</v>
      </c>
      <c r="E243" s="4"/>
      <c r="F243" s="12">
        <f>IF(D$12=0,0,D243/D$12)</f>
        <v>9.9101668040672664E-2</v>
      </c>
      <c r="G243" s="4"/>
      <c r="H243" s="4">
        <v>230113</v>
      </c>
      <c r="I243" s="4"/>
      <c r="J243" s="12">
        <f>IF(H$12=0,0,H243/H$12)</f>
        <v>8.2966387351459434E-2</v>
      </c>
      <c r="K243" s="4"/>
      <c r="L243" s="4">
        <f>+D243-H243</f>
        <v>-10999.98000000001</v>
      </c>
      <c r="M243" s="4"/>
      <c r="N243" s="12">
        <f>IF(H243=0,0,L243/H243)</f>
        <v>-4.780251441683004E-2</v>
      </c>
      <c r="O243" s="10"/>
      <c r="P243" s="4">
        <v>453816.26</v>
      </c>
      <c r="Q243" s="4"/>
      <c r="R243" s="12">
        <f>IF(P$12=0,0,P243/P$12)</f>
        <v>0.16883670987213664</v>
      </c>
      <c r="S243" s="4"/>
      <c r="T243" s="4">
        <v>568045</v>
      </c>
      <c r="U243" s="4"/>
      <c r="V243" s="12">
        <f>IF(T$12=0,0,T243/T$12)</f>
        <v>0.16398878036078138</v>
      </c>
      <c r="W243" s="4"/>
      <c r="X243" s="4">
        <f>+P243-T243</f>
        <v>-114228.73999999999</v>
      </c>
      <c r="Y243" s="4"/>
      <c r="Z243" s="12">
        <f>IF(T243=0,0,X243/T243)</f>
        <v>-0.20109100511403144</v>
      </c>
    </row>
    <row r="244" spans="1:26" x14ac:dyDescent="0.25">
      <c r="A244" s="9"/>
      <c r="B244" s="10"/>
      <c r="C244" s="10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O244" s="10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2" customFormat="1" ht="15.75" thickBot="1" x14ac:dyDescent="0.3">
      <c r="A245" s="10"/>
      <c r="B245" s="26" t="s">
        <v>4</v>
      </c>
      <c r="C245" s="26"/>
      <c r="D245" s="33">
        <f>+D241-D243</f>
        <v>-167522.68999999994</v>
      </c>
      <c r="E245" s="13"/>
      <c r="F245" s="31">
        <f>IF(D$12=0,0,D245/D$12)</f>
        <v>-7.5768103664768577E-2</v>
      </c>
      <c r="G245" s="13"/>
      <c r="H245" s="33">
        <f>+H241-H243</f>
        <v>-200579.09179938259</v>
      </c>
      <c r="I245" s="13"/>
      <c r="J245" s="31">
        <f>IF(H$12=0,0,H245/H$12)</f>
        <v>-7.2318046459050628E-2</v>
      </c>
      <c r="K245" s="16"/>
      <c r="L245" s="33">
        <f>D245-H245</f>
        <v>33056.401799382642</v>
      </c>
      <c r="M245" s="16"/>
      <c r="N245" s="31">
        <f>IF(H245=0,0,L245/H245)</f>
        <v>-0.16480482338829891</v>
      </c>
      <c r="O245" s="25"/>
      <c r="P245" s="33">
        <f>+P241-P243</f>
        <v>-762279.62000000023</v>
      </c>
      <c r="Q245" s="13"/>
      <c r="R245" s="31">
        <f>IF(P$12=0,0,P245/P$12)</f>
        <v>-0.28359667642446879</v>
      </c>
      <c r="S245" s="13"/>
      <c r="T245" s="33">
        <f>+T241-T243</f>
        <v>-1121842.6375026528</v>
      </c>
      <c r="U245" s="13"/>
      <c r="V245" s="31">
        <f>IF(T$12=0,0,T245/T$12)</f>
        <v>-0.32386449292007186</v>
      </c>
      <c r="W245" s="16"/>
      <c r="X245" s="33">
        <f>P245-T245</f>
        <v>359563.0175026526</v>
      </c>
      <c r="Y245" s="16"/>
      <c r="Z245" s="31">
        <f>IF(T245=0,0,X245/T245)</f>
        <v>-0.32051109975912495</v>
      </c>
    </row>
    <row r="246" spans="1:26" ht="15.75" thickTop="1" x14ac:dyDescent="0.25">
      <c r="A246" s="9"/>
      <c r="B246" s="9"/>
      <c r="C246" s="9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s="22" customFormat="1" x14ac:dyDescent="0.25">
      <c r="A247" s="52"/>
      <c r="B247" s="10" t="s">
        <v>2</v>
      </c>
      <c r="C247" s="10"/>
      <c r="D247" s="4">
        <f>--487459.55</f>
        <v>487459.55</v>
      </c>
      <c r="E247" s="4"/>
      <c r="F247" s="12">
        <f t="shared" ref="F247:F248" si="142">IF(D$12=0,0,D247/D$12)</f>
        <v>0.22047094466296743</v>
      </c>
      <c r="G247" s="4"/>
      <c r="H247" s="4">
        <f t="shared" ref="H247:H248" si="143">--15000</f>
        <v>15000</v>
      </c>
      <c r="I247" s="4"/>
      <c r="J247" s="12">
        <f t="shared" ref="J247:J248" si="144">IF(H$12=0,0,H247/H$12)</f>
        <v>5.4081942796447464E-3</v>
      </c>
      <c r="K247" s="4"/>
      <c r="L247" s="4">
        <f t="shared" ref="L247:L248" si="145">+D247-H247</f>
        <v>472459.55</v>
      </c>
      <c r="M247" s="4"/>
      <c r="N247" s="12">
        <f t="shared" ref="N247:N248" si="146">IF(H247=0,0,L247/H247)</f>
        <v>31.497303333333331</v>
      </c>
      <c r="O247" s="10"/>
      <c r="P247" s="4">
        <f>--951342.71</f>
        <v>951342.71</v>
      </c>
      <c r="Q247" s="4"/>
      <c r="R247" s="12">
        <f t="shared" ref="R247:R248" si="147">IF(P$12=0,0,P247/P$12)</f>
        <v>0.35393525370210888</v>
      </c>
      <c r="S247" s="4"/>
      <c r="T247" s="4">
        <f t="shared" ref="T247:T248" si="148">--30000</f>
        <v>30000</v>
      </c>
      <c r="U247" s="4"/>
      <c r="V247" s="12">
        <f t="shared" ref="V247:V248" si="149">IF(T$12=0,0,T247/T$12)</f>
        <v>8.6606930979472429E-3</v>
      </c>
      <c r="W247" s="4"/>
      <c r="X247" s="4">
        <f t="shared" ref="X247:X248" si="150">+P247-T247</f>
        <v>921342.71</v>
      </c>
      <c r="Y247" s="4"/>
      <c r="Z247" s="12">
        <f t="shared" ref="Z247:Z248" si="151">IF(T247=0,0,X247/T247)</f>
        <v>30.711423666666665</v>
      </c>
    </row>
    <row r="248" spans="1:26" s="22" customFormat="1" x14ac:dyDescent="0.25">
      <c r="A248" s="52"/>
      <c r="B248" s="10" t="s">
        <v>1</v>
      </c>
      <c r="C248" s="10"/>
      <c r="D248" s="4">
        <f>--25064.99</f>
        <v>25064.99</v>
      </c>
      <c r="E248" s="4"/>
      <c r="F248" s="12">
        <f t="shared" si="142"/>
        <v>1.1336534535568814E-2</v>
      </c>
      <c r="G248" s="4"/>
      <c r="H248" s="4">
        <f t="shared" si="143"/>
        <v>15000</v>
      </c>
      <c r="I248" s="4"/>
      <c r="J248" s="12">
        <f t="shared" si="144"/>
        <v>5.4081942796447464E-3</v>
      </c>
      <c r="K248" s="4"/>
      <c r="L248" s="4">
        <f t="shared" si="145"/>
        <v>10064.990000000002</v>
      </c>
      <c r="M248" s="4"/>
      <c r="N248" s="12">
        <f t="shared" si="146"/>
        <v>0.67099933333333339</v>
      </c>
      <c r="O248" s="10"/>
      <c r="P248" s="4">
        <f>-56563.28</f>
        <v>-56563.28</v>
      </c>
      <c r="Q248" s="4"/>
      <c r="R248" s="12">
        <f t="shared" si="147"/>
        <v>-2.1043666647767158E-2</v>
      </c>
      <c r="S248" s="4"/>
      <c r="T248" s="4">
        <f t="shared" si="148"/>
        <v>30000</v>
      </c>
      <c r="U248" s="4"/>
      <c r="V248" s="12">
        <f t="shared" si="149"/>
        <v>8.6606930979472429E-3</v>
      </c>
      <c r="W248" s="4"/>
      <c r="X248" s="4">
        <f t="shared" si="150"/>
        <v>-86563.28</v>
      </c>
      <c r="Y248" s="4"/>
      <c r="Z248" s="12">
        <f t="shared" si="151"/>
        <v>-2.8854426666666666</v>
      </c>
    </row>
    <row r="249" spans="1:26" x14ac:dyDescent="0.25">
      <c r="A249" s="9"/>
      <c r="B249" s="9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s="22" customFormat="1" ht="15.75" thickBot="1" x14ac:dyDescent="0.3">
      <c r="A250" s="10"/>
      <c r="B250" s="26" t="s">
        <v>5</v>
      </c>
      <c r="C250" s="26"/>
      <c r="D250" s="32">
        <f>SUM(D245:D249)</f>
        <v>345001.85000000003</v>
      </c>
      <c r="E250" s="13"/>
      <c r="F250" s="35">
        <f>IF(D$12=0,0,D250/D$12)</f>
        <v>0.15603937553376768</v>
      </c>
      <c r="G250" s="13"/>
      <c r="H250" s="32">
        <f>SUM(H245:H249)</f>
        <v>-170579.09179938259</v>
      </c>
      <c r="I250" s="13"/>
      <c r="J250" s="35">
        <f>IF(H$12=0,0,H250/H$12)</f>
        <v>-6.1501657899761135E-2</v>
      </c>
      <c r="K250" s="16"/>
      <c r="L250" s="32">
        <f>+D250-H250</f>
        <v>515580.94179938262</v>
      </c>
      <c r="M250" s="16"/>
      <c r="N250" s="35">
        <f>IF(H250=0,0,L250/H250)</f>
        <v>-3.0225330452911274</v>
      </c>
      <c r="O250" s="25"/>
      <c r="P250" s="32">
        <f>SUM(P245:P249)</f>
        <v>132499.80999999974</v>
      </c>
      <c r="Q250" s="13"/>
      <c r="R250" s="35">
        <f>IF(P$12=0,0,P250/P$12)</f>
        <v>4.9294910629872943E-2</v>
      </c>
      <c r="S250" s="13"/>
      <c r="T250" s="32">
        <f>SUM(T245:T249)</f>
        <v>-1061842.6375026528</v>
      </c>
      <c r="U250" s="13"/>
      <c r="V250" s="35">
        <f>IF(T$12=0,0,T250/T$12)</f>
        <v>-0.30654310672417739</v>
      </c>
      <c r="W250" s="16"/>
      <c r="X250" s="32">
        <f>+P250-T250</f>
        <v>1194342.4475026526</v>
      </c>
      <c r="Y250" s="16"/>
      <c r="Z250" s="35">
        <f>IF(T250=0,0,X250/T250)</f>
        <v>-1.1247829059790122</v>
      </c>
    </row>
    <row r="251" spans="1:26" ht="15.75" thickTop="1" x14ac:dyDescent="0.25">
      <c r="A251" s="9"/>
      <c r="C251" s="9"/>
      <c r="D251" s="18"/>
      <c r="E251" s="18"/>
      <c r="G251" s="18"/>
      <c r="H251" s="18"/>
      <c r="I251" s="18"/>
      <c r="J251" s="43"/>
      <c r="K251" s="18"/>
      <c r="L251" s="18"/>
      <c r="M251" s="18"/>
      <c r="P251" s="18"/>
      <c r="Q251" s="18"/>
      <c r="R251" s="43"/>
      <c r="S251" s="18"/>
      <c r="T251" s="18"/>
      <c r="U251" s="18"/>
      <c r="V251" s="43"/>
      <c r="W251" s="18"/>
      <c r="X251" s="18"/>
    </row>
    <row r="252" spans="1:26" x14ac:dyDescent="0.25">
      <c r="A252" s="9"/>
      <c r="B252" s="59">
        <v>44113.688782175923</v>
      </c>
      <c r="D252" s="18"/>
      <c r="E252" s="18"/>
      <c r="G252" s="18"/>
      <c r="H252" s="18"/>
      <c r="I252" s="18"/>
      <c r="J252" s="43"/>
      <c r="K252" s="18"/>
      <c r="L252" s="18"/>
      <c r="M252" s="18"/>
      <c r="P252" s="18"/>
      <c r="Q252" s="18"/>
      <c r="R252" s="43"/>
      <c r="S252" s="18"/>
      <c r="T252" s="18"/>
      <c r="U252" s="18"/>
      <c r="V252" s="43"/>
      <c r="W252" s="18"/>
      <c r="X252" s="18"/>
    </row>
    <row r="253" spans="1:26" x14ac:dyDescent="0.25">
      <c r="A253" s="9"/>
      <c r="B253" s="62" t="s">
        <v>314</v>
      </c>
      <c r="D253" s="18"/>
      <c r="E253" s="18"/>
      <c r="G253" s="18"/>
      <c r="H253" s="18"/>
      <c r="I253" s="18"/>
      <c r="J253" s="43"/>
      <c r="K253" s="18"/>
      <c r="L253" s="18"/>
      <c r="M253" s="18"/>
      <c r="P253" s="18"/>
      <c r="Q253" s="18"/>
      <c r="R253" s="43"/>
      <c r="S253" s="18"/>
      <c r="T253" s="18"/>
      <c r="U253" s="18"/>
      <c r="V253" s="43"/>
      <c r="W253" s="18"/>
      <c r="X253" s="18"/>
    </row>
    <row r="254" spans="1:26" x14ac:dyDescent="0.25">
      <c r="A254" s="9"/>
      <c r="B254" s="63"/>
      <c r="D254" s="18"/>
      <c r="E254" s="18"/>
      <c r="G254" s="18"/>
      <c r="H254" s="18"/>
      <c r="I254" s="18"/>
      <c r="J254" s="43"/>
      <c r="K254" s="18"/>
      <c r="L254" s="18"/>
      <c r="M254" s="18"/>
      <c r="P254" s="18"/>
      <c r="Q254" s="18"/>
      <c r="R254" s="43"/>
      <c r="S254" s="18"/>
      <c r="T254" s="18"/>
      <c r="U254" s="18"/>
      <c r="V254" s="43"/>
      <c r="W254" s="18"/>
      <c r="X254" s="18"/>
    </row>
    <row r="255" spans="1:26" x14ac:dyDescent="0.25">
      <c r="D255" s="18"/>
      <c r="E255" s="18"/>
      <c r="G255" s="18"/>
      <c r="H255" s="18"/>
      <c r="I255" s="18"/>
      <c r="J255" s="43"/>
      <c r="K255" s="18"/>
      <c r="L255" s="18"/>
      <c r="M255" s="18"/>
      <c r="P255" s="18"/>
      <c r="Q255" s="18"/>
      <c r="R255" s="43"/>
      <c r="S255" s="18"/>
      <c r="T255" s="18"/>
      <c r="U255" s="18"/>
      <c r="V255" s="43"/>
      <c r="W255" s="18"/>
      <c r="X255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","100", " - ", "Corporate")</f>
        <v>Department 100 - Corporate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SUM(0)</f>
        <v>0</v>
      </c>
      <c r="E18" s="19"/>
      <c r="F18" s="30">
        <f>IF(D$12=0,0,D18/D$12)</f>
        <v>0</v>
      </c>
      <c r="G18" s="19"/>
      <c r="H18" s="19">
        <f>SUM(0)</f>
        <v>0</v>
      </c>
      <c r="I18" s="19"/>
      <c r="J18" s="30">
        <f>IF(H$12=0,0,H18/H$12)</f>
        <v>0</v>
      </c>
      <c r="K18" s="4"/>
      <c r="L18" s="19">
        <f>+D18-H18</f>
        <v>0</v>
      </c>
      <c r="M18" s="4"/>
      <c r="N18" s="30">
        <f>IF(H18=0,0,L18/H18)</f>
        <v>0</v>
      </c>
      <c r="O18" s="10"/>
      <c r="P18" s="19">
        <f>SUM(0)</f>
        <v>0</v>
      </c>
      <c r="Q18" s="19"/>
      <c r="R18" s="30">
        <f>IF(P$12=0,0,P18/P$12)</f>
        <v>0</v>
      </c>
      <c r="S18" s="19"/>
      <c r="T18" s="19">
        <f>SUM(0)</f>
        <v>0</v>
      </c>
      <c r="U18" s="19"/>
      <c r="V18" s="30">
        <f>IF(T$12=0,0,T18/T$12)</f>
        <v>0</v>
      </c>
      <c r="W18" s="4"/>
      <c r="X18" s="19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2" customFormat="1" x14ac:dyDescent="0.25">
      <c r="A28" s="52"/>
      <c r="B28" s="10" t="s">
        <v>2</v>
      </c>
      <c r="C28" s="10"/>
      <c r="D28" s="4">
        <f>--487459.55</f>
        <v>487459.55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472459.55</v>
      </c>
      <c r="M28" s="4"/>
      <c r="N28" s="12">
        <f t="shared" ref="N28:N29" si="4">IF(H28=0,0,L28/H28)</f>
        <v>31.497303333333331</v>
      </c>
      <c r="O28" s="10"/>
      <c r="P28" s="4">
        <f>--951342.71</f>
        <v>951342.71</v>
      </c>
      <c r="Q28" s="4"/>
      <c r="R28" s="12">
        <f t="shared" ref="R28:R29" si="5">IF(P$12=0,0,P28/P$12)</f>
        <v>0</v>
      </c>
      <c r="S28" s="4"/>
      <c r="T28" s="4">
        <f t="shared" ref="T28:T29" si="6">--30000</f>
        <v>30000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921342.71</v>
      </c>
      <c r="Y28" s="4"/>
      <c r="Z28" s="12">
        <f t="shared" ref="Z28:Z29" si="9">IF(T28=0,0,X28/T28)</f>
        <v>30.711423666666665</v>
      </c>
    </row>
    <row r="29" spans="1:26" s="22" customFormat="1" x14ac:dyDescent="0.25">
      <c r="A29" s="52"/>
      <c r="B29" s="10" t="s">
        <v>1</v>
      </c>
      <c r="C29" s="10"/>
      <c r="D29" s="4">
        <f>--25064.99</f>
        <v>25064.99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10064.990000000002</v>
      </c>
      <c r="M29" s="4"/>
      <c r="N29" s="12">
        <f t="shared" si="4"/>
        <v>0.67099933333333339</v>
      </c>
      <c r="O29" s="10"/>
      <c r="P29" s="4">
        <f>-56563.28</f>
        <v>-56563.28</v>
      </c>
      <c r="Q29" s="4"/>
      <c r="R29" s="12">
        <f t="shared" si="5"/>
        <v>0</v>
      </c>
      <c r="S29" s="4"/>
      <c r="T29" s="4">
        <f t="shared" si="6"/>
        <v>30000</v>
      </c>
      <c r="U29" s="4"/>
      <c r="V29" s="12">
        <f t="shared" si="7"/>
        <v>0</v>
      </c>
      <c r="W29" s="4"/>
      <c r="X29" s="4">
        <f t="shared" si="8"/>
        <v>-86563.28</v>
      </c>
      <c r="Y29" s="4"/>
      <c r="Z29" s="12">
        <f t="shared" si="9"/>
        <v>-2.8854426666666666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5</v>
      </c>
      <c r="C31" s="26"/>
      <c r="D31" s="32">
        <f>SUM(D26:D30)</f>
        <v>512524.54</v>
      </c>
      <c r="E31" s="13"/>
      <c r="F31" s="35">
        <f>IF(D$12=0,0,D31/D$12)</f>
        <v>0</v>
      </c>
      <c r="G31" s="13"/>
      <c r="H31" s="32">
        <f>SUM(H26:H30)</f>
        <v>30000</v>
      </c>
      <c r="I31" s="13"/>
      <c r="J31" s="35">
        <f>IF(H$12=0,0,H31/H$12)</f>
        <v>0</v>
      </c>
      <c r="K31" s="16"/>
      <c r="L31" s="32">
        <f>+D31-H31</f>
        <v>482524.54</v>
      </c>
      <c r="M31" s="16"/>
      <c r="N31" s="35">
        <f>IF(H31=0,0,L31/H31)</f>
        <v>16.084151333333331</v>
      </c>
      <c r="O31" s="25"/>
      <c r="P31" s="32">
        <f>SUM(P26:P30)</f>
        <v>894779.42999999993</v>
      </c>
      <c r="Q31" s="13"/>
      <c r="R31" s="35">
        <f>IF(P$12=0,0,P31/P$12)</f>
        <v>0</v>
      </c>
      <c r="S31" s="13"/>
      <c r="T31" s="32">
        <f>SUM(T26:T30)</f>
        <v>60000</v>
      </c>
      <c r="U31" s="13"/>
      <c r="V31" s="35">
        <f>IF(T$12=0,0,T31/T$12)</f>
        <v>0</v>
      </c>
      <c r="W31" s="16"/>
      <c r="X31" s="32">
        <f>+P31-T31</f>
        <v>834779.42999999993</v>
      </c>
      <c r="Y31" s="16"/>
      <c r="Z31" s="35">
        <f>IF(T31=0,0,X31/T31)</f>
        <v>13.912990499999999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44113.689165706019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/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5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219113.02000000005</v>
      </c>
      <c r="E19" s="19"/>
      <c r="F19" s="30">
        <f t="shared" ref="F19:F31" si="4">IF(D$12=0,0,D19/D$12)</f>
        <v>0</v>
      </c>
      <c r="G19" s="19"/>
      <c r="H19" s="19">
        <f>SUM(OSRRefH22x_0)</f>
        <v>230112.25086153846</v>
      </c>
      <c r="I19" s="19"/>
      <c r="J19" s="30">
        <f t="shared" ref="J19:J31" si="5">IF(H$12=0,0,H19/H$12)</f>
        <v>0</v>
      </c>
      <c r="K19" s="4"/>
      <c r="L19" s="19">
        <f t="shared" ref="L19:L31" si="6">+D19-H19</f>
        <v>-10999.23086153841</v>
      </c>
      <c r="M19" s="4"/>
      <c r="N19" s="30">
        <f t="shared" ref="N19:N31" si="7">IF(H19=0,0,L19/H19)</f>
        <v>-4.7799414504692279E-2</v>
      </c>
      <c r="O19" s="10"/>
      <c r="P19" s="19">
        <f>SUM(OSRRefP22x_0)</f>
        <v>453816.25999999989</v>
      </c>
      <c r="Q19" s="19"/>
      <c r="R19" s="30">
        <f t="shared" ref="R19:R31" si="8">IF(P$12=0,0,P19/P$12)</f>
        <v>0</v>
      </c>
      <c r="S19" s="19"/>
      <c r="T19" s="19">
        <f>SUM(OSRRefT22x_0)</f>
        <v>551822.78480384627</v>
      </c>
      <c r="U19" s="19"/>
      <c r="V19" s="30">
        <f t="shared" ref="V19:V31" si="9">IF(T$12=0,0,T19/T$12)</f>
        <v>0</v>
      </c>
      <c r="W19" s="4"/>
      <c r="X19" s="19">
        <f t="shared" ref="X19:X31" si="10">+P19-T19</f>
        <v>-98006.524803846376</v>
      </c>
      <c r="Y19" s="4"/>
      <c r="Z19" s="30">
        <f t="shared" ref="Z19:Z31" si="11">IF(T19=0,0,X19/T19)</f>
        <v>-0.17760507087195443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80654.989999999991</v>
      </c>
      <c r="E20" s="1"/>
      <c r="F20" s="5">
        <f t="shared" si="4"/>
        <v>0</v>
      </c>
      <c r="G20" s="1"/>
      <c r="H20" s="1">
        <f>SUM(OSRRefH22_0x_0)</f>
        <v>76686.235476923088</v>
      </c>
      <c r="I20" s="1"/>
      <c r="J20" s="5">
        <f t="shared" si="5"/>
        <v>0</v>
      </c>
      <c r="K20" s="1"/>
      <c r="L20" s="1">
        <f t="shared" si="6"/>
        <v>3968.7545230769028</v>
      </c>
      <c r="M20" s="1"/>
      <c r="N20" s="5">
        <f t="shared" si="7"/>
        <v>5.1753153592618402E-2</v>
      </c>
      <c r="O20" s="14"/>
      <c r="P20" s="1">
        <f>SUM(OSRRefP22_0x_0)</f>
        <v>164793.91</v>
      </c>
      <c r="Q20" s="1"/>
      <c r="R20" s="5">
        <f t="shared" si="8"/>
        <v>0</v>
      </c>
      <c r="S20" s="1"/>
      <c r="T20" s="1">
        <f>SUM(OSRRefT22_0x_0)</f>
        <v>163075.00018846156</v>
      </c>
      <c r="U20" s="1"/>
      <c r="V20" s="5">
        <f t="shared" si="9"/>
        <v>0</v>
      </c>
      <c r="W20" s="1"/>
      <c r="X20" s="1">
        <f t="shared" si="10"/>
        <v>1718.9098115384404</v>
      </c>
      <c r="Y20" s="1"/>
      <c r="Z20" s="5">
        <f t="shared" si="11"/>
        <v>1.0540608980848938E-2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7377.1</v>
      </c>
      <c r="E21" s="2"/>
      <c r="F21" s="7">
        <f t="shared" si="4"/>
        <v>0</v>
      </c>
      <c r="G21" s="2"/>
      <c r="H21" s="6">
        <v>6967.5266769230802</v>
      </c>
      <c r="I21" s="2"/>
      <c r="J21" s="7">
        <f t="shared" si="5"/>
        <v>0</v>
      </c>
      <c r="K21" s="2"/>
      <c r="L21" s="6">
        <f t="shared" si="6"/>
        <v>409.57332307692013</v>
      </c>
      <c r="M21" s="2"/>
      <c r="N21" s="7">
        <f t="shared" si="7"/>
        <v>5.8783172575923491E-2</v>
      </c>
      <c r="O21" s="11"/>
      <c r="P21" s="6">
        <v>14775.390000000001</v>
      </c>
      <c r="Q21" s="2"/>
      <c r="R21" s="7">
        <f t="shared" si="8"/>
        <v>0</v>
      </c>
      <c r="S21" s="2"/>
      <c r="T21" s="6">
        <v>16080.630773076931</v>
      </c>
      <c r="U21" s="2"/>
      <c r="V21" s="7">
        <f t="shared" si="9"/>
        <v>0</v>
      </c>
      <c r="W21" s="2"/>
      <c r="X21" s="6">
        <f t="shared" si="10"/>
        <v>-1305.2407730769301</v>
      </c>
      <c r="Y21" s="2"/>
      <c r="Z21" s="7">
        <f t="shared" si="11"/>
        <v>-8.1168505856265005E-2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595.07000000000005</v>
      </c>
      <c r="E22" s="2"/>
      <c r="F22" s="7">
        <f t="shared" si="4"/>
        <v>0</v>
      </c>
      <c r="G22" s="2"/>
      <c r="H22" s="6">
        <v>606.721753846154</v>
      </c>
      <c r="I22" s="2"/>
      <c r="J22" s="7">
        <f t="shared" si="5"/>
        <v>0</v>
      </c>
      <c r="K22" s="2"/>
      <c r="L22" s="6">
        <f t="shared" si="6"/>
        <v>-11.651753846153952</v>
      </c>
      <c r="M22" s="2"/>
      <c r="N22" s="7">
        <f t="shared" si="7"/>
        <v>-1.9204443836553911E-2</v>
      </c>
      <c r="O22" s="11"/>
      <c r="P22" s="6">
        <v>1192.29</v>
      </c>
      <c r="Q22" s="2"/>
      <c r="R22" s="7">
        <f t="shared" si="8"/>
        <v>0</v>
      </c>
      <c r="S22" s="2"/>
      <c r="T22" s="6">
        <v>1378.2414461538458</v>
      </c>
      <c r="U22" s="2"/>
      <c r="V22" s="7">
        <f t="shared" si="9"/>
        <v>0</v>
      </c>
      <c r="W22" s="2"/>
      <c r="X22" s="6">
        <f t="shared" si="10"/>
        <v>-185.95144615384584</v>
      </c>
      <c r="Y22" s="2"/>
      <c r="Z22" s="7">
        <f t="shared" si="11"/>
        <v>-0.13491935442281647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22694.37</v>
      </c>
      <c r="E23" s="2"/>
      <c r="F23" s="7">
        <f t="shared" si="4"/>
        <v>0</v>
      </c>
      <c r="G23" s="2"/>
      <c r="H23" s="6">
        <v>20373.557692307699</v>
      </c>
      <c r="I23" s="2"/>
      <c r="J23" s="7">
        <f t="shared" si="5"/>
        <v>0</v>
      </c>
      <c r="K23" s="2"/>
      <c r="L23" s="6">
        <f t="shared" si="6"/>
        <v>2320.8123076923002</v>
      </c>
      <c r="M23" s="2"/>
      <c r="N23" s="7">
        <f t="shared" si="7"/>
        <v>0.1139129622200718</v>
      </c>
      <c r="O23" s="11"/>
      <c r="P23" s="6">
        <v>45283.420000000006</v>
      </c>
      <c r="Q23" s="2"/>
      <c r="R23" s="7">
        <f t="shared" si="8"/>
        <v>0</v>
      </c>
      <c r="S23" s="2"/>
      <c r="T23" s="6">
        <v>44444.326923076937</v>
      </c>
      <c r="U23" s="2"/>
      <c r="V23" s="7">
        <f t="shared" si="9"/>
        <v>0</v>
      </c>
      <c r="W23" s="2"/>
      <c r="X23" s="6">
        <f t="shared" si="10"/>
        <v>839.09307692306902</v>
      </c>
      <c r="Y23" s="2"/>
      <c r="Z23" s="7">
        <f t="shared" si="11"/>
        <v>1.887964415290503E-2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254.15</v>
      </c>
      <c r="E24" s="2"/>
      <c r="F24" s="7">
        <f t="shared" si="4"/>
        <v>0</v>
      </c>
      <c r="G24" s="2"/>
      <c r="H24" s="6">
        <v>259.6232</v>
      </c>
      <c r="I24" s="2"/>
      <c r="J24" s="7">
        <f t="shared" si="5"/>
        <v>0</v>
      </c>
      <c r="K24" s="2"/>
      <c r="L24" s="6">
        <f t="shared" si="6"/>
        <v>-5.4731999999999914</v>
      </c>
      <c r="M24" s="2"/>
      <c r="N24" s="7">
        <f t="shared" si="7"/>
        <v>-2.1081320929716572E-2</v>
      </c>
      <c r="O24" s="11"/>
      <c r="P24" s="6">
        <v>508.14</v>
      </c>
      <c r="Q24" s="2"/>
      <c r="R24" s="7">
        <f t="shared" si="8"/>
        <v>0</v>
      </c>
      <c r="S24" s="2"/>
      <c r="T24" s="6">
        <v>594.48720000000003</v>
      </c>
      <c r="U24" s="2"/>
      <c r="V24" s="7">
        <f t="shared" si="9"/>
        <v>0</v>
      </c>
      <c r="W24" s="2"/>
      <c r="X24" s="6">
        <f t="shared" si="10"/>
        <v>-86.347200000000043</v>
      </c>
      <c r="Y24" s="2"/>
      <c r="Z24" s="7">
        <f t="shared" si="11"/>
        <v>-0.14524652507236496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7443.75</v>
      </c>
      <c r="E25" s="2"/>
      <c r="F25" s="7">
        <f t="shared" si="4"/>
        <v>0</v>
      </c>
      <c r="G25" s="2"/>
      <c r="H25" s="6">
        <v>5815.5846153846151</v>
      </c>
      <c r="I25" s="2"/>
      <c r="J25" s="7">
        <f t="shared" si="5"/>
        <v>0</v>
      </c>
      <c r="K25" s="2"/>
      <c r="L25" s="6">
        <f t="shared" si="6"/>
        <v>1628.1653846153849</v>
      </c>
      <c r="M25" s="2"/>
      <c r="N25" s="7">
        <f t="shared" si="7"/>
        <v>0.27996590064362875</v>
      </c>
      <c r="O25" s="11"/>
      <c r="P25" s="6">
        <v>18609.390000000003</v>
      </c>
      <c r="Q25" s="2"/>
      <c r="R25" s="7">
        <f t="shared" si="8"/>
        <v>0</v>
      </c>
      <c r="S25" s="2"/>
      <c r="T25" s="6">
        <v>13085.065384615395</v>
      </c>
      <c r="U25" s="2"/>
      <c r="V25" s="7">
        <f t="shared" si="9"/>
        <v>0</v>
      </c>
      <c r="W25" s="2"/>
      <c r="X25" s="6">
        <f t="shared" si="10"/>
        <v>5524.3246153846085</v>
      </c>
      <c r="Y25" s="2"/>
      <c r="Z25" s="7">
        <f t="shared" si="11"/>
        <v>0.4221854803935306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300</v>
      </c>
      <c r="I26" s="2"/>
      <c r="J26" s="7">
        <f t="shared" si="5"/>
        <v>0</v>
      </c>
      <c r="K26" s="2"/>
      <c r="L26" s="6">
        <f t="shared" si="6"/>
        <v>-300</v>
      </c>
      <c r="M26" s="2"/>
      <c r="N26" s="7">
        <f t="shared" si="7"/>
        <v>-1</v>
      </c>
      <c r="O26" s="11"/>
      <c r="P26" s="6"/>
      <c r="Q26" s="2"/>
      <c r="R26" s="7">
        <f t="shared" si="8"/>
        <v>0</v>
      </c>
      <c r="S26" s="2"/>
      <c r="T26" s="6">
        <v>600</v>
      </c>
      <c r="U26" s="2"/>
      <c r="V26" s="7">
        <f t="shared" si="9"/>
        <v>0</v>
      </c>
      <c r="W26" s="2"/>
      <c r="X26" s="6">
        <f t="shared" si="10"/>
        <v>-600</v>
      </c>
      <c r="Y26" s="2"/>
      <c r="Z26" s="7">
        <f t="shared" si="11"/>
        <v>-1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774.77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774.77</v>
      </c>
      <c r="M27" s="2"/>
      <c r="N27" s="7">
        <f t="shared" si="7"/>
        <v>0</v>
      </c>
      <c r="O27" s="11"/>
      <c r="P27" s="6">
        <v>1855.51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1855.51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6115</v>
      </c>
      <c r="E28" s="2"/>
      <c r="F28" s="7">
        <f t="shared" si="4"/>
        <v>0</v>
      </c>
      <c r="G28" s="2"/>
      <c r="H28" s="6">
        <v>4702.1538461538448</v>
      </c>
      <c r="I28" s="2"/>
      <c r="J28" s="7">
        <f t="shared" si="5"/>
        <v>0</v>
      </c>
      <c r="K28" s="2"/>
      <c r="L28" s="6">
        <f t="shared" si="6"/>
        <v>1412.8461538461552</v>
      </c>
      <c r="M28" s="2"/>
      <c r="N28" s="7">
        <f t="shared" si="7"/>
        <v>0.30046787069755304</v>
      </c>
      <c r="O28" s="11"/>
      <c r="P28" s="6">
        <v>12138.54</v>
      </c>
      <c r="Q28" s="2"/>
      <c r="R28" s="7">
        <f t="shared" si="8"/>
        <v>0</v>
      </c>
      <c r="S28" s="2"/>
      <c r="T28" s="6">
        <v>10593.596153846154</v>
      </c>
      <c r="U28" s="2"/>
      <c r="V28" s="7">
        <f t="shared" si="9"/>
        <v>0</v>
      </c>
      <c r="W28" s="2"/>
      <c r="X28" s="6">
        <f t="shared" si="10"/>
        <v>1544.9438461538466</v>
      </c>
      <c r="Y28" s="2"/>
      <c r="Z28" s="7">
        <f t="shared" si="11"/>
        <v>0.1458375252102595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4158.5</v>
      </c>
      <c r="E29" s="2"/>
      <c r="F29" s="7">
        <f t="shared" si="4"/>
        <v>0</v>
      </c>
      <c r="G29" s="2"/>
      <c r="H29" s="6">
        <v>3851.0676923076912</v>
      </c>
      <c r="I29" s="2"/>
      <c r="J29" s="7">
        <f t="shared" si="5"/>
        <v>0</v>
      </c>
      <c r="K29" s="2"/>
      <c r="L29" s="6">
        <f t="shared" si="6"/>
        <v>307.43230769230877</v>
      </c>
      <c r="M29" s="2"/>
      <c r="N29" s="7">
        <f t="shared" si="7"/>
        <v>7.9830408669883654E-2</v>
      </c>
      <c r="O29" s="11"/>
      <c r="P29" s="6">
        <v>8317</v>
      </c>
      <c r="Q29" s="2"/>
      <c r="R29" s="7">
        <f t="shared" si="8"/>
        <v>0</v>
      </c>
      <c r="S29" s="2"/>
      <c r="T29" s="6">
        <v>8678.652307692304</v>
      </c>
      <c r="U29" s="2"/>
      <c r="V29" s="7">
        <f t="shared" si="9"/>
        <v>0</v>
      </c>
      <c r="W29" s="2"/>
      <c r="X29" s="6">
        <f t="shared" si="10"/>
        <v>-361.65230769230402</v>
      </c>
      <c r="Y29" s="2"/>
      <c r="Z29" s="7">
        <f t="shared" si="11"/>
        <v>-4.1671482491786691E-2</v>
      </c>
    </row>
    <row r="30" spans="1:26" s="24" customFormat="1" hidden="1" outlineLevel="2" x14ac:dyDescent="0.25">
      <c r="A30" s="27"/>
      <c r="B30" s="11" t="str">
        <f>CONCATENATE("          ", "6120", " - ", "RETIREES HEALTH INSURANCE")</f>
        <v xml:space="preserve">          6120 - RETIREES HEALTH INSURANCE</v>
      </c>
      <c r="C30" s="11"/>
      <c r="D30" s="6">
        <v>30426.25</v>
      </c>
      <c r="E30" s="2"/>
      <c r="F30" s="7">
        <f t="shared" si="4"/>
        <v>0</v>
      </c>
      <c r="G30" s="2"/>
      <c r="H30" s="6">
        <v>32000</v>
      </c>
      <c r="I30" s="2"/>
      <c r="J30" s="7">
        <f t="shared" si="5"/>
        <v>0</v>
      </c>
      <c r="K30" s="2"/>
      <c r="L30" s="6">
        <f t="shared" si="6"/>
        <v>-1573.75</v>
      </c>
      <c r="M30" s="2"/>
      <c r="N30" s="7">
        <f t="shared" si="7"/>
        <v>-4.9179687499999999E-2</v>
      </c>
      <c r="O30" s="11"/>
      <c r="P30" s="6">
        <v>60675.340000000004</v>
      </c>
      <c r="Q30" s="2"/>
      <c r="R30" s="7">
        <f t="shared" si="8"/>
        <v>0</v>
      </c>
      <c r="S30" s="2"/>
      <c r="T30" s="6">
        <v>64000</v>
      </c>
      <c r="U30" s="2"/>
      <c r="V30" s="7">
        <f t="shared" si="9"/>
        <v>0</v>
      </c>
      <c r="W30" s="2"/>
      <c r="X30" s="6">
        <f t="shared" si="10"/>
        <v>-3324.6599999999962</v>
      </c>
      <c r="Y30" s="2"/>
      <c r="Z30" s="7">
        <f t="shared" si="11"/>
        <v>-5.194781249999994E-2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816.03</v>
      </c>
      <c r="E31" s="2"/>
      <c r="F31" s="7">
        <f t="shared" si="4"/>
        <v>0</v>
      </c>
      <c r="G31" s="2"/>
      <c r="H31" s="6">
        <v>1810</v>
      </c>
      <c r="I31" s="2"/>
      <c r="J31" s="7">
        <f t="shared" si="5"/>
        <v>0</v>
      </c>
      <c r="K31" s="2"/>
      <c r="L31" s="6">
        <f t="shared" si="6"/>
        <v>-993.97</v>
      </c>
      <c r="M31" s="2"/>
      <c r="N31" s="7">
        <f t="shared" si="7"/>
        <v>-0.54915469613259671</v>
      </c>
      <c r="O31" s="11"/>
      <c r="P31" s="6">
        <v>1438.89</v>
      </c>
      <c r="Q31" s="2"/>
      <c r="R31" s="7">
        <f t="shared" si="8"/>
        <v>0</v>
      </c>
      <c r="S31" s="2"/>
      <c r="T31" s="6">
        <v>3620</v>
      </c>
      <c r="U31" s="2"/>
      <c r="V31" s="7">
        <f t="shared" si="9"/>
        <v>0</v>
      </c>
      <c r="W31" s="2"/>
      <c r="X31" s="6">
        <f t="shared" si="10"/>
        <v>-2181.1099999999997</v>
      </c>
      <c r="Y31" s="2"/>
      <c r="Z31" s="7">
        <f t="shared" si="11"/>
        <v>-0.60251657458563523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89313.99</v>
      </c>
      <c r="E32" s="1"/>
      <c r="F32" s="5">
        <f t="shared" ref="F32:F42" si="12">IF(D$12=0,0,D32/D$12)</f>
        <v>0</v>
      </c>
      <c r="G32" s="1"/>
      <c r="H32" s="1">
        <f>SUM(OSRRefH22_1x_0)</f>
        <v>91757.01538461537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-2443.0253846153646</v>
      </c>
      <c r="M32" s="1"/>
      <c r="N32" s="5">
        <f t="shared" ref="N32:N42" si="15">IF(H32=0,0,L32/H32)</f>
        <v>-2.6624943873501138E-2</v>
      </c>
      <c r="O32" s="14"/>
      <c r="P32" s="1">
        <f>SUM(OSRRefP22_1x_0)</f>
        <v>203620.9</v>
      </c>
      <c r="Q32" s="1"/>
      <c r="R32" s="5">
        <f t="shared" ref="R32:R42" si="16">IF(P$12=0,0,P32/P$12)</f>
        <v>0</v>
      </c>
      <c r="S32" s="1"/>
      <c r="T32" s="1">
        <f>SUM(OSRRefT22_1x_0)</f>
        <v>210400.78461538468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-6779.8846153846825</v>
      </c>
      <c r="Y32" s="1"/>
      <c r="Z32" s="5">
        <f t="shared" ref="Z32:Z42" si="19">IF(T32=0,0,X32/T32)</f>
        <v>-3.222366602756923E-2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>
        <v>20804.48</v>
      </c>
      <c r="E33" s="2"/>
      <c r="F33" s="7">
        <f t="shared" si="12"/>
        <v>0</v>
      </c>
      <c r="G33" s="2"/>
      <c r="H33" s="6">
        <v>27288.461538461499</v>
      </c>
      <c r="I33" s="2"/>
      <c r="J33" s="7">
        <f t="shared" si="13"/>
        <v>0</v>
      </c>
      <c r="K33" s="2"/>
      <c r="L33" s="6">
        <f t="shared" si="14"/>
        <v>-6483.9815384614994</v>
      </c>
      <c r="M33" s="2"/>
      <c r="N33" s="7">
        <f t="shared" si="15"/>
        <v>-0.23760890768146473</v>
      </c>
      <c r="O33" s="11"/>
      <c r="P33" s="6">
        <v>49554.77</v>
      </c>
      <c r="Q33" s="2"/>
      <c r="R33" s="7">
        <f t="shared" si="16"/>
        <v>0</v>
      </c>
      <c r="S33" s="2"/>
      <c r="T33" s="6">
        <v>61399.038461538439</v>
      </c>
      <c r="U33" s="2"/>
      <c r="V33" s="7">
        <f t="shared" si="17"/>
        <v>0</v>
      </c>
      <c r="W33" s="2"/>
      <c r="X33" s="6">
        <f t="shared" si="18"/>
        <v>-11844.268461538442</v>
      </c>
      <c r="Y33" s="2"/>
      <c r="Z33" s="7">
        <f t="shared" si="19"/>
        <v>-0.19290641609897399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>
        <v>44494.060000000005</v>
      </c>
      <c r="E34" s="2"/>
      <c r="F34" s="7">
        <f t="shared" si="12"/>
        <v>0</v>
      </c>
      <c r="G34" s="2"/>
      <c r="H34" s="6">
        <v>34146.153846153873</v>
      </c>
      <c r="I34" s="2"/>
      <c r="J34" s="7">
        <f t="shared" si="13"/>
        <v>0</v>
      </c>
      <c r="K34" s="2"/>
      <c r="L34" s="6">
        <f t="shared" si="14"/>
        <v>10347.906153846132</v>
      </c>
      <c r="M34" s="2"/>
      <c r="N34" s="7">
        <f t="shared" si="15"/>
        <v>0.30304748817301108</v>
      </c>
      <c r="O34" s="11"/>
      <c r="P34" s="6">
        <v>97784.41</v>
      </c>
      <c r="Q34" s="2"/>
      <c r="R34" s="7">
        <f t="shared" si="16"/>
        <v>0</v>
      </c>
      <c r="S34" s="2"/>
      <c r="T34" s="6">
        <v>76828.846153846229</v>
      </c>
      <c r="U34" s="2"/>
      <c r="V34" s="7">
        <f t="shared" si="17"/>
        <v>0</v>
      </c>
      <c r="W34" s="2"/>
      <c r="X34" s="6">
        <f t="shared" si="18"/>
        <v>20955.563846153775</v>
      </c>
      <c r="Y34" s="2"/>
      <c r="Z34" s="7">
        <f t="shared" si="19"/>
        <v>0.27275645665940657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17348.59</v>
      </c>
      <c r="E36" s="2"/>
      <c r="F36" s="7">
        <f t="shared" si="12"/>
        <v>0</v>
      </c>
      <c r="G36" s="2"/>
      <c r="H36" s="6">
        <v>20346.400000000001</v>
      </c>
      <c r="I36" s="2"/>
      <c r="J36" s="7">
        <f t="shared" si="13"/>
        <v>0</v>
      </c>
      <c r="K36" s="2"/>
      <c r="L36" s="6">
        <f t="shared" si="14"/>
        <v>-2997.8100000000013</v>
      </c>
      <c r="M36" s="2"/>
      <c r="N36" s="7">
        <f t="shared" si="15"/>
        <v>-0.14733859552549841</v>
      </c>
      <c r="O36" s="11"/>
      <c r="P36" s="6">
        <v>35878.89</v>
      </c>
      <c r="Q36" s="2"/>
      <c r="R36" s="7">
        <f t="shared" si="16"/>
        <v>0</v>
      </c>
      <c r="S36" s="2"/>
      <c r="T36" s="6">
        <v>51026.899999999994</v>
      </c>
      <c r="U36" s="2"/>
      <c r="V36" s="7">
        <f t="shared" si="17"/>
        <v>0</v>
      </c>
      <c r="W36" s="2"/>
      <c r="X36" s="6">
        <f t="shared" si="18"/>
        <v>-15148.009999999995</v>
      </c>
      <c r="Y36" s="2"/>
      <c r="Z36" s="7">
        <f t="shared" si="19"/>
        <v>-0.29686322312348967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5756.74</v>
      </c>
      <c r="E37" s="2"/>
      <c r="F37" s="7">
        <f t="shared" si="12"/>
        <v>0</v>
      </c>
      <c r="G37" s="2"/>
      <c r="H37" s="6">
        <v>7772</v>
      </c>
      <c r="I37" s="2"/>
      <c r="J37" s="7">
        <f t="shared" si="13"/>
        <v>0</v>
      </c>
      <c r="K37" s="2"/>
      <c r="L37" s="6">
        <f t="shared" si="14"/>
        <v>-2015.2600000000002</v>
      </c>
      <c r="M37" s="2"/>
      <c r="N37" s="7">
        <f t="shared" si="15"/>
        <v>-0.25929747812660836</v>
      </c>
      <c r="O37" s="11"/>
      <c r="P37" s="6">
        <v>11640.08</v>
      </c>
      <c r="Q37" s="2"/>
      <c r="R37" s="7">
        <f t="shared" si="16"/>
        <v>0</v>
      </c>
      <c r="S37" s="2"/>
      <c r="T37" s="6">
        <v>17487</v>
      </c>
      <c r="U37" s="2"/>
      <c r="V37" s="7">
        <f t="shared" si="17"/>
        <v>0</v>
      </c>
      <c r="W37" s="2"/>
      <c r="X37" s="6">
        <f t="shared" si="18"/>
        <v>-5846.92</v>
      </c>
      <c r="Y37" s="2"/>
      <c r="Z37" s="7">
        <f t="shared" si="19"/>
        <v>-0.33435809458454852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-900.11</v>
      </c>
      <c r="E39" s="2"/>
      <c r="F39" s="7">
        <f t="shared" si="12"/>
        <v>0</v>
      </c>
      <c r="G39" s="2"/>
      <c r="H39" s="6">
        <v>1164</v>
      </c>
      <c r="I39" s="2"/>
      <c r="J39" s="7">
        <f t="shared" si="13"/>
        <v>0</v>
      </c>
      <c r="K39" s="2"/>
      <c r="L39" s="6">
        <f t="shared" si="14"/>
        <v>-2064.11</v>
      </c>
      <c r="M39" s="2"/>
      <c r="N39" s="7">
        <f t="shared" si="15"/>
        <v>-1.7732903780068729</v>
      </c>
      <c r="O39" s="11"/>
      <c r="P39" s="6">
        <v>5723.89</v>
      </c>
      <c r="Q39" s="2"/>
      <c r="R39" s="7">
        <f t="shared" si="16"/>
        <v>0</v>
      </c>
      <c r="S39" s="2"/>
      <c r="T39" s="6">
        <v>2619</v>
      </c>
      <c r="U39" s="2"/>
      <c r="V39" s="7">
        <f t="shared" si="17"/>
        <v>0</v>
      </c>
      <c r="W39" s="2"/>
      <c r="X39" s="6">
        <f t="shared" si="18"/>
        <v>3104.8900000000003</v>
      </c>
      <c r="Y39" s="2"/>
      <c r="Z39" s="7">
        <f t="shared" si="19"/>
        <v>1.1855250095456282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>
        <v>1810.23</v>
      </c>
      <c r="E40" s="2"/>
      <c r="F40" s="7">
        <f t="shared" si="12"/>
        <v>0</v>
      </c>
      <c r="G40" s="2"/>
      <c r="H40" s="6">
        <v>1040</v>
      </c>
      <c r="I40" s="2"/>
      <c r="J40" s="7">
        <f t="shared" si="13"/>
        <v>0</v>
      </c>
      <c r="K40" s="2"/>
      <c r="L40" s="6">
        <f t="shared" si="14"/>
        <v>770.23</v>
      </c>
      <c r="M40" s="2"/>
      <c r="N40" s="7">
        <f t="shared" si="15"/>
        <v>0.74060576923076926</v>
      </c>
      <c r="O40" s="11"/>
      <c r="P40" s="6">
        <v>3038.86</v>
      </c>
      <c r="Q40" s="2"/>
      <c r="R40" s="7">
        <f t="shared" si="16"/>
        <v>0</v>
      </c>
      <c r="S40" s="2"/>
      <c r="T40" s="6">
        <v>1040</v>
      </c>
      <c r="U40" s="2"/>
      <c r="V40" s="7">
        <f t="shared" si="17"/>
        <v>0</v>
      </c>
      <c r="W40" s="2"/>
      <c r="X40" s="6">
        <f t="shared" si="18"/>
        <v>1998.8600000000001</v>
      </c>
      <c r="Y40" s="2"/>
      <c r="Z40" s="7">
        <f t="shared" si="19"/>
        <v>1.9219807692307693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176.68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-8906.32</v>
      </c>
      <c r="M43" s="1"/>
      <c r="N43" s="5">
        <f t="shared" ref="N43:N51" si="23">IF(H43=0,0,L43/H43)</f>
        <v>-0.98054827700099079</v>
      </c>
      <c r="O43" s="14"/>
      <c r="P43" s="1">
        <f>SUM(OSRRefP22_2x_0)</f>
        <v>235.06</v>
      </c>
      <c r="Q43" s="1"/>
      <c r="R43" s="5">
        <f t="shared" ref="R43:R51" si="24">IF(P$12=0,0,P43/P$12)</f>
        <v>0</v>
      </c>
      <c r="S43" s="1"/>
      <c r="T43" s="1">
        <f>SUM(OSRRefT22_2x_0)</f>
        <v>18266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-18030.939999999999</v>
      </c>
      <c r="Y43" s="1"/>
      <c r="Z43" s="5">
        <f t="shared" ref="Z43:Z51" si="27">IF(T43=0,0,X43/T43)</f>
        <v>-0.98713128216358259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>
        <v>176.68</v>
      </c>
      <c r="E44" s="2"/>
      <c r="F44" s="7">
        <f t="shared" si="20"/>
        <v>0</v>
      </c>
      <c r="G44" s="2"/>
      <c r="H44" s="6">
        <v>9083</v>
      </c>
      <c r="I44" s="2"/>
      <c r="J44" s="7">
        <f t="shared" si="21"/>
        <v>0</v>
      </c>
      <c r="K44" s="2"/>
      <c r="L44" s="6">
        <f t="shared" si="22"/>
        <v>-8906.32</v>
      </c>
      <c r="M44" s="2"/>
      <c r="N44" s="7">
        <f t="shared" si="23"/>
        <v>-0.98054827700099079</v>
      </c>
      <c r="O44" s="11"/>
      <c r="P44" s="6">
        <v>235.06</v>
      </c>
      <c r="Q44" s="2"/>
      <c r="R44" s="7">
        <f t="shared" si="24"/>
        <v>0</v>
      </c>
      <c r="S44" s="2"/>
      <c r="T44" s="6">
        <v>18266</v>
      </c>
      <c r="U44" s="2"/>
      <c r="V44" s="7">
        <f t="shared" si="25"/>
        <v>0</v>
      </c>
      <c r="W44" s="2"/>
      <c r="X44" s="6">
        <f t="shared" si="26"/>
        <v>-18030.939999999999</v>
      </c>
      <c r="Y44" s="2"/>
      <c r="Z44" s="7">
        <f t="shared" si="27"/>
        <v>-0.98713128216358259</v>
      </c>
    </row>
    <row r="45" spans="1:26" s="29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7</v>
      </c>
      <c r="E45" s="1"/>
      <c r="F45" s="5">
        <f t="shared" si="20"/>
        <v>0</v>
      </c>
      <c r="G45" s="1"/>
      <c r="H45" s="1">
        <f>SUM(OSRRefH22_3x_0)</f>
        <v>1000</v>
      </c>
      <c r="I45" s="1"/>
      <c r="J45" s="5">
        <f t="shared" si="21"/>
        <v>0</v>
      </c>
      <c r="K45" s="1"/>
      <c r="L45" s="1">
        <f t="shared" si="22"/>
        <v>-993</v>
      </c>
      <c r="M45" s="1"/>
      <c r="N45" s="5">
        <f t="shared" si="23"/>
        <v>-0.99299999999999999</v>
      </c>
      <c r="O45" s="14"/>
      <c r="P45" s="1">
        <f>SUM(OSRRefP22_3x_0)</f>
        <v>930.98</v>
      </c>
      <c r="Q45" s="1"/>
      <c r="R45" s="5">
        <f t="shared" si="24"/>
        <v>0</v>
      </c>
      <c r="S45" s="1"/>
      <c r="T45" s="1">
        <f>SUM(OSRRefT22_3x_0)</f>
        <v>16000</v>
      </c>
      <c r="U45" s="1"/>
      <c r="V45" s="5">
        <f t="shared" si="25"/>
        <v>0</v>
      </c>
      <c r="W45" s="1"/>
      <c r="X45" s="1">
        <f t="shared" si="26"/>
        <v>-15069.02</v>
      </c>
      <c r="Y45" s="1"/>
      <c r="Z45" s="5">
        <f t="shared" si="27"/>
        <v>-0.94181375000000001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7</v>
      </c>
      <c r="E46" s="2"/>
      <c r="F46" s="7">
        <f t="shared" si="20"/>
        <v>0</v>
      </c>
      <c r="G46" s="2"/>
      <c r="H46" s="6">
        <v>1000</v>
      </c>
      <c r="I46" s="2"/>
      <c r="J46" s="7">
        <f t="shared" si="21"/>
        <v>0</v>
      </c>
      <c r="K46" s="2"/>
      <c r="L46" s="6">
        <f t="shared" si="22"/>
        <v>-993</v>
      </c>
      <c r="M46" s="2"/>
      <c r="N46" s="7">
        <f t="shared" si="23"/>
        <v>-0.99299999999999999</v>
      </c>
      <c r="O46" s="11"/>
      <c r="P46" s="6">
        <v>930.98</v>
      </c>
      <c r="Q46" s="2"/>
      <c r="R46" s="7">
        <f t="shared" si="24"/>
        <v>0</v>
      </c>
      <c r="S46" s="2"/>
      <c r="T46" s="6">
        <v>16000</v>
      </c>
      <c r="U46" s="2"/>
      <c r="V46" s="7">
        <f t="shared" si="25"/>
        <v>0</v>
      </c>
      <c r="W46" s="2"/>
      <c r="X46" s="6">
        <f t="shared" si="26"/>
        <v>-15069.02</v>
      </c>
      <c r="Y46" s="2"/>
      <c r="Z46" s="7">
        <f t="shared" si="27"/>
        <v>-0.94181375000000001</v>
      </c>
    </row>
    <row r="47" spans="1:26" s="29" customFormat="1" outlineLevel="1" collapsed="1" x14ac:dyDescent="0.25">
      <c r="A47" s="28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4354.01</v>
      </c>
      <c r="E47" s="1"/>
      <c r="F47" s="5">
        <f t="shared" si="20"/>
        <v>0</v>
      </c>
      <c r="G47" s="1"/>
      <c r="H47" s="1">
        <f>SUM(OSRRefH22_4x_0)</f>
        <v>2137</v>
      </c>
      <c r="I47" s="1"/>
      <c r="J47" s="5">
        <f t="shared" si="21"/>
        <v>0</v>
      </c>
      <c r="K47" s="1"/>
      <c r="L47" s="1">
        <f t="shared" si="22"/>
        <v>2217.0100000000002</v>
      </c>
      <c r="M47" s="1"/>
      <c r="N47" s="5">
        <f t="shared" si="23"/>
        <v>1.0374403369209173</v>
      </c>
      <c r="O47" s="14"/>
      <c r="P47" s="1">
        <f>SUM(OSRRefP22_4x_0)</f>
        <v>5137.8</v>
      </c>
      <c r="Q47" s="1"/>
      <c r="R47" s="5">
        <f t="shared" si="24"/>
        <v>0</v>
      </c>
      <c r="S47" s="1"/>
      <c r="T47" s="1">
        <f>SUM(OSRRefT22_4x_0)</f>
        <v>4174</v>
      </c>
      <c r="U47" s="1"/>
      <c r="V47" s="5">
        <f t="shared" si="25"/>
        <v>0</v>
      </c>
      <c r="W47" s="1"/>
      <c r="X47" s="1">
        <f t="shared" si="26"/>
        <v>963.80000000000018</v>
      </c>
      <c r="Y47" s="1"/>
      <c r="Z47" s="5">
        <f t="shared" si="27"/>
        <v>0.2309056061332056</v>
      </c>
    </row>
    <row r="48" spans="1:26" s="24" customFormat="1" hidden="1" outlineLevel="2" x14ac:dyDescent="0.25">
      <c r="A48" s="27"/>
      <c r="B48" s="11" t="str">
        <f>CONCATENATE("          ", "6397", " - ", "BOARD EXPENSES")</f>
        <v xml:space="preserve">          6397 - BOARD EXPENSES</v>
      </c>
      <c r="C48" s="11"/>
      <c r="D48" s="6">
        <v>4354.01</v>
      </c>
      <c r="E48" s="2"/>
      <c r="F48" s="7">
        <f t="shared" si="20"/>
        <v>0</v>
      </c>
      <c r="G48" s="2"/>
      <c r="H48" s="6">
        <v>2137</v>
      </c>
      <c r="I48" s="2"/>
      <c r="J48" s="7">
        <f t="shared" si="21"/>
        <v>0</v>
      </c>
      <c r="K48" s="2"/>
      <c r="L48" s="6">
        <f t="shared" si="22"/>
        <v>2217.0100000000002</v>
      </c>
      <c r="M48" s="2"/>
      <c r="N48" s="7">
        <f t="shared" si="23"/>
        <v>1.0374403369209173</v>
      </c>
      <c r="O48" s="11"/>
      <c r="P48" s="6">
        <v>5137.8</v>
      </c>
      <c r="Q48" s="2"/>
      <c r="R48" s="7">
        <f t="shared" si="24"/>
        <v>0</v>
      </c>
      <c r="S48" s="2"/>
      <c r="T48" s="6">
        <v>4174</v>
      </c>
      <c r="U48" s="2"/>
      <c r="V48" s="7">
        <f t="shared" si="25"/>
        <v>0</v>
      </c>
      <c r="W48" s="2"/>
      <c r="X48" s="6">
        <f t="shared" si="26"/>
        <v>963.80000000000018</v>
      </c>
      <c r="Y48" s="2"/>
      <c r="Z48" s="7">
        <f t="shared" si="27"/>
        <v>0.2309056061332056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7607.16</v>
      </c>
      <c r="E49" s="1"/>
      <c r="F49" s="5">
        <f t="shared" si="20"/>
        <v>0</v>
      </c>
      <c r="G49" s="1"/>
      <c r="H49" s="1">
        <f>SUM(OSRRefH22_5x_0)</f>
        <v>7607</v>
      </c>
      <c r="I49" s="1"/>
      <c r="J49" s="5">
        <f t="shared" si="21"/>
        <v>0</v>
      </c>
      <c r="K49" s="1"/>
      <c r="L49" s="1">
        <f t="shared" si="22"/>
        <v>0.15999999999985448</v>
      </c>
      <c r="M49" s="1"/>
      <c r="N49" s="5">
        <f t="shared" si="23"/>
        <v>2.1033258840522478E-5</v>
      </c>
      <c r="O49" s="14"/>
      <c r="P49" s="1">
        <f>SUM(OSRRefP22_5x_0)</f>
        <v>15214.32</v>
      </c>
      <c r="Q49" s="1"/>
      <c r="R49" s="5">
        <f t="shared" si="24"/>
        <v>0</v>
      </c>
      <c r="S49" s="1"/>
      <c r="T49" s="1">
        <f>SUM(OSRRefT22_5x_0)</f>
        <v>9952</v>
      </c>
      <c r="U49" s="1"/>
      <c r="V49" s="5">
        <f t="shared" si="25"/>
        <v>0</v>
      </c>
      <c r="W49" s="1"/>
      <c r="X49" s="1">
        <f t="shared" si="26"/>
        <v>5262.32</v>
      </c>
      <c r="Y49" s="1"/>
      <c r="Z49" s="5">
        <f t="shared" si="27"/>
        <v>0.52877009646302253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7607.16</v>
      </c>
      <c r="E50" s="2"/>
      <c r="F50" s="7">
        <f t="shared" si="20"/>
        <v>0</v>
      </c>
      <c r="G50" s="2"/>
      <c r="H50" s="6">
        <v>7607</v>
      </c>
      <c r="I50" s="2"/>
      <c r="J50" s="7">
        <f t="shared" si="21"/>
        <v>0</v>
      </c>
      <c r="K50" s="2"/>
      <c r="L50" s="6">
        <f t="shared" si="22"/>
        <v>0.15999999999985448</v>
      </c>
      <c r="M50" s="2"/>
      <c r="N50" s="7">
        <f t="shared" si="23"/>
        <v>2.1033258840522478E-5</v>
      </c>
      <c r="O50" s="11"/>
      <c r="P50" s="6">
        <v>15214.32</v>
      </c>
      <c r="Q50" s="2"/>
      <c r="R50" s="7">
        <f t="shared" si="24"/>
        <v>0</v>
      </c>
      <c r="S50" s="2"/>
      <c r="T50" s="6">
        <v>9852</v>
      </c>
      <c r="U50" s="2"/>
      <c r="V50" s="7">
        <f t="shared" si="25"/>
        <v>0</v>
      </c>
      <c r="W50" s="2"/>
      <c r="X50" s="6">
        <f t="shared" si="26"/>
        <v>5362.32</v>
      </c>
      <c r="Y50" s="2"/>
      <c r="Z50" s="7">
        <f t="shared" si="27"/>
        <v>0.54428745432399506</v>
      </c>
    </row>
    <row r="51" spans="1:26" s="24" customFormat="1" hidden="1" outlineLevel="2" x14ac:dyDescent="0.25">
      <c r="A51" s="27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/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0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9" customFormat="1" outlineLevel="1" collapsed="1" x14ac:dyDescent="0.25">
      <c r="A52" s="28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0" si="28">IF(D$12=0,0,D52/D$12)</f>
        <v>0</v>
      </c>
      <c r="G52" s="1"/>
      <c r="H52" s="1">
        <f>SUM(OSRRefH22_6x_0)</f>
        <v>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0</v>
      </c>
      <c r="M52" s="1"/>
      <c r="N52" s="5">
        <f t="shared" ref="N52:N60" si="31">IF(H52=0,0,L52/H52)</f>
        <v>0</v>
      </c>
      <c r="O52" s="14"/>
      <c r="P52" s="1">
        <f>SUM(OSRRefP22_6x_0)</f>
        <v>0</v>
      </c>
      <c r="Q52" s="1"/>
      <c r="R52" s="5">
        <f t="shared" ref="R52:R60" si="32">IF(P$12=0,0,P52/P$12)</f>
        <v>0</v>
      </c>
      <c r="S52" s="1"/>
      <c r="T52" s="1">
        <f>SUM(OSRRefT22_6x_0)</f>
        <v>26500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-26500</v>
      </c>
      <c r="Y52" s="1"/>
      <c r="Z52" s="5">
        <f t="shared" ref="Z52:Z60" si="35">IF(T52=0,0,X52/T52)</f>
        <v>-1</v>
      </c>
    </row>
    <row r="53" spans="1:26" s="24" customFormat="1" hidden="1" outlineLevel="2" x14ac:dyDescent="0.25">
      <c r="A53" s="27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26500</v>
      </c>
      <c r="U53" s="2"/>
      <c r="V53" s="7">
        <f t="shared" si="33"/>
        <v>0</v>
      </c>
      <c r="W53" s="2"/>
      <c r="X53" s="6">
        <f t="shared" si="34"/>
        <v>-26500</v>
      </c>
      <c r="Y53" s="2"/>
      <c r="Z53" s="7">
        <f t="shared" si="35"/>
        <v>-1</v>
      </c>
    </row>
    <row r="54" spans="1:26" s="29" customFormat="1" outlineLevel="1" collapsed="1" x14ac:dyDescent="0.25">
      <c r="A54" s="28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81.56</v>
      </c>
      <c r="E54" s="1"/>
      <c r="F54" s="5">
        <f t="shared" si="28"/>
        <v>0</v>
      </c>
      <c r="G54" s="1"/>
      <c r="H54" s="1">
        <f>SUM(OSRRefH22_7x_0)</f>
        <v>0</v>
      </c>
      <c r="I54" s="1"/>
      <c r="J54" s="5">
        <f t="shared" si="29"/>
        <v>0</v>
      </c>
      <c r="K54" s="1"/>
      <c r="L54" s="1">
        <f t="shared" si="30"/>
        <v>81.56</v>
      </c>
      <c r="M54" s="1"/>
      <c r="N54" s="5">
        <f t="shared" si="31"/>
        <v>0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500</v>
      </c>
      <c r="U54" s="1"/>
      <c r="V54" s="5">
        <f t="shared" si="33"/>
        <v>0</v>
      </c>
      <c r="W54" s="1"/>
      <c r="X54" s="1">
        <f t="shared" si="34"/>
        <v>-418.44</v>
      </c>
      <c r="Y54" s="1"/>
      <c r="Z54" s="5">
        <f t="shared" si="35"/>
        <v>-0.83687999999999996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6">
        <v>81.56</v>
      </c>
      <c r="E55" s="2"/>
      <c r="F55" s="7">
        <f t="shared" si="28"/>
        <v>0</v>
      </c>
      <c r="G55" s="2"/>
      <c r="H55" s="6">
        <v>0</v>
      </c>
      <c r="I55" s="2"/>
      <c r="J55" s="7">
        <f t="shared" si="29"/>
        <v>0</v>
      </c>
      <c r="K55" s="2"/>
      <c r="L55" s="6">
        <f t="shared" si="30"/>
        <v>81.56</v>
      </c>
      <c r="M55" s="2"/>
      <c r="N55" s="7">
        <f t="shared" si="31"/>
        <v>0</v>
      </c>
      <c r="O55" s="11"/>
      <c r="P55" s="6">
        <v>81.56</v>
      </c>
      <c r="Q55" s="2"/>
      <c r="R55" s="7">
        <f t="shared" si="32"/>
        <v>0</v>
      </c>
      <c r="S55" s="2"/>
      <c r="T55" s="6">
        <v>500</v>
      </c>
      <c r="U55" s="2"/>
      <c r="V55" s="7">
        <f t="shared" si="33"/>
        <v>0</v>
      </c>
      <c r="W55" s="2"/>
      <c r="X55" s="6">
        <f t="shared" si="34"/>
        <v>-418.44</v>
      </c>
      <c r="Y55" s="2"/>
      <c r="Z55" s="7">
        <f t="shared" si="35"/>
        <v>-0.83687999999999996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417.94</v>
      </c>
      <c r="Q56" s="1"/>
      <c r="R56" s="5">
        <f t="shared" si="32"/>
        <v>0</v>
      </c>
      <c r="S56" s="1"/>
      <c r="T56" s="1">
        <f>SUM(OSRRefT22_8x_0)</f>
        <v>500</v>
      </c>
      <c r="U56" s="1"/>
      <c r="V56" s="5">
        <f t="shared" si="33"/>
        <v>0</v>
      </c>
      <c r="W56" s="1"/>
      <c r="X56" s="1">
        <f t="shared" si="34"/>
        <v>-82.06</v>
      </c>
      <c r="Y56" s="1"/>
      <c r="Z56" s="5">
        <f t="shared" si="35"/>
        <v>-0.16412000000000002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208.97</v>
      </c>
      <c r="E57" s="2"/>
      <c r="F57" s="7">
        <f t="shared" si="28"/>
        <v>0</v>
      </c>
      <c r="G57" s="2"/>
      <c r="H57" s="6">
        <v>291</v>
      </c>
      <c r="I57" s="2"/>
      <c r="J57" s="7">
        <f t="shared" si="29"/>
        <v>0</v>
      </c>
      <c r="K57" s="2"/>
      <c r="L57" s="6">
        <f t="shared" si="30"/>
        <v>-82.03</v>
      </c>
      <c r="M57" s="2"/>
      <c r="N57" s="7">
        <f t="shared" si="31"/>
        <v>-0.28189003436426119</v>
      </c>
      <c r="O57" s="11"/>
      <c r="P57" s="6">
        <v>417.94</v>
      </c>
      <c r="Q57" s="2"/>
      <c r="R57" s="7">
        <f t="shared" si="32"/>
        <v>0</v>
      </c>
      <c r="S57" s="2"/>
      <c r="T57" s="6">
        <v>500</v>
      </c>
      <c r="U57" s="2"/>
      <c r="V57" s="7">
        <f t="shared" si="33"/>
        <v>0</v>
      </c>
      <c r="W57" s="2"/>
      <c r="X57" s="6">
        <f t="shared" si="34"/>
        <v>-82.06</v>
      </c>
      <c r="Y57" s="2"/>
      <c r="Z57" s="7">
        <f t="shared" si="35"/>
        <v>-0.16412000000000002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174.01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-23.990000000000009</v>
      </c>
      <c r="M58" s="1"/>
      <c r="N58" s="5">
        <f t="shared" si="31"/>
        <v>-0.12116161616161621</v>
      </c>
      <c r="O58" s="14"/>
      <c r="P58" s="1">
        <f>SUM(OSRRefP22_9x_0)</f>
        <v>258.01</v>
      </c>
      <c r="Q58" s="1"/>
      <c r="R58" s="5">
        <f t="shared" si="32"/>
        <v>0</v>
      </c>
      <c r="S58" s="1"/>
      <c r="T58" s="1">
        <f>SUM(OSRRefT22_9x_0)</f>
        <v>396</v>
      </c>
      <c r="U58" s="1"/>
      <c r="V58" s="5">
        <f t="shared" si="33"/>
        <v>0</v>
      </c>
      <c r="W58" s="1"/>
      <c r="X58" s="1">
        <f t="shared" si="34"/>
        <v>-137.99</v>
      </c>
      <c r="Y58" s="1"/>
      <c r="Z58" s="5">
        <f t="shared" si="35"/>
        <v>-0.34845959595959597</v>
      </c>
    </row>
    <row r="59" spans="1:26" s="24" customFormat="1" hidden="1" outlineLevel="2" x14ac:dyDescent="0.25">
      <c r="A59" s="27"/>
      <c r="B59" s="11" t="str">
        <f>CONCATENATE("          ", "6305", " - ", "FREIGHT OUT")</f>
        <v xml:space="preserve">          6305 - FREIGHT OUT</v>
      </c>
      <c r="C59" s="11"/>
      <c r="D59" s="6">
        <v>5.41</v>
      </c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5.41</v>
      </c>
      <c r="M59" s="2"/>
      <c r="N59" s="7">
        <f t="shared" si="31"/>
        <v>0</v>
      </c>
      <c r="O59" s="11"/>
      <c r="P59" s="6">
        <v>5.41</v>
      </c>
      <c r="Q59" s="2"/>
      <c r="R59" s="7">
        <f t="shared" si="32"/>
        <v>0</v>
      </c>
      <c r="S59" s="2"/>
      <c r="T59" s="6"/>
      <c r="U59" s="2"/>
      <c r="V59" s="7">
        <f t="shared" si="33"/>
        <v>0</v>
      </c>
      <c r="W59" s="2"/>
      <c r="X59" s="6">
        <f t="shared" si="34"/>
        <v>5.41</v>
      </c>
      <c r="Y59" s="2"/>
      <c r="Z59" s="7">
        <f t="shared" si="35"/>
        <v>0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>
        <v>168.6</v>
      </c>
      <c r="E60" s="2"/>
      <c r="F60" s="7">
        <f t="shared" si="28"/>
        <v>0</v>
      </c>
      <c r="G60" s="2"/>
      <c r="H60" s="6">
        <v>198</v>
      </c>
      <c r="I60" s="2"/>
      <c r="J60" s="7">
        <f t="shared" si="29"/>
        <v>0</v>
      </c>
      <c r="K60" s="2"/>
      <c r="L60" s="6">
        <f t="shared" si="30"/>
        <v>-29.400000000000006</v>
      </c>
      <c r="M60" s="2"/>
      <c r="N60" s="7">
        <f t="shared" si="31"/>
        <v>-0.14848484848484853</v>
      </c>
      <c r="O60" s="11"/>
      <c r="P60" s="6">
        <v>252.6</v>
      </c>
      <c r="Q60" s="2"/>
      <c r="R60" s="7">
        <f t="shared" si="32"/>
        <v>0</v>
      </c>
      <c r="S60" s="2"/>
      <c r="T60" s="6">
        <v>396</v>
      </c>
      <c r="U60" s="2"/>
      <c r="V60" s="7">
        <f t="shared" si="33"/>
        <v>0</v>
      </c>
      <c r="W60" s="2"/>
      <c r="X60" s="6">
        <f t="shared" si="34"/>
        <v>-143.4</v>
      </c>
      <c r="Y60" s="2"/>
      <c r="Z60" s="7">
        <f t="shared" si="35"/>
        <v>-0.36212121212121212</v>
      </c>
    </row>
    <row r="61" spans="1:26" s="29" customFormat="1" outlineLevel="1" collapsed="1" x14ac:dyDescent="0.25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-684</v>
      </c>
      <c r="E61" s="1"/>
      <c r="F61" s="5">
        <f t="shared" ref="F61:F65" si="36">IF(D$12=0,0,D61/D$12)</f>
        <v>0</v>
      </c>
      <c r="G61" s="1"/>
      <c r="H61" s="1">
        <f>SUM(OSRRefH22_10x_0)</f>
        <v>333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-1017</v>
      </c>
      <c r="M61" s="1"/>
      <c r="N61" s="5">
        <f t="shared" ref="N61:N65" si="39">IF(H61=0,0,L61/H61)</f>
        <v>-3.0540540540540539</v>
      </c>
      <c r="O61" s="14"/>
      <c r="P61" s="1">
        <f>SUM(OSRRefP22_10x_0)</f>
        <v>-684</v>
      </c>
      <c r="Q61" s="1"/>
      <c r="R61" s="5">
        <f t="shared" ref="R61:R65" si="40">IF(P$12=0,0,P61/P$12)</f>
        <v>0</v>
      </c>
      <c r="S61" s="1"/>
      <c r="T61" s="1">
        <f>SUM(OSRRefT22_10x_0)</f>
        <v>1166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-1850</v>
      </c>
      <c r="Y61" s="1"/>
      <c r="Z61" s="5">
        <f t="shared" ref="Z61:Z65" si="43">IF(T61=0,0,X61/T61)</f>
        <v>-1.5866209262435678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>
        <v>-684</v>
      </c>
      <c r="E62" s="2"/>
      <c r="F62" s="7">
        <f t="shared" si="36"/>
        <v>0</v>
      </c>
      <c r="G62" s="2"/>
      <c r="H62" s="6">
        <v>333</v>
      </c>
      <c r="I62" s="2"/>
      <c r="J62" s="7">
        <f t="shared" si="37"/>
        <v>0</v>
      </c>
      <c r="K62" s="2"/>
      <c r="L62" s="6">
        <f t="shared" si="38"/>
        <v>-1017</v>
      </c>
      <c r="M62" s="2"/>
      <c r="N62" s="7">
        <f t="shared" si="39"/>
        <v>-3.0540540540540539</v>
      </c>
      <c r="O62" s="11"/>
      <c r="P62" s="6">
        <v>-684</v>
      </c>
      <c r="Q62" s="2"/>
      <c r="R62" s="7">
        <f t="shared" si="40"/>
        <v>0</v>
      </c>
      <c r="S62" s="2"/>
      <c r="T62" s="6">
        <v>1166</v>
      </c>
      <c r="U62" s="2"/>
      <c r="V62" s="7">
        <f t="shared" si="41"/>
        <v>0</v>
      </c>
      <c r="W62" s="2"/>
      <c r="X62" s="6">
        <f t="shared" si="42"/>
        <v>-1850</v>
      </c>
      <c r="Y62" s="2"/>
      <c r="Z62" s="7">
        <f t="shared" si="43"/>
        <v>-1.5866209262435678</v>
      </c>
    </row>
    <row r="63" spans="1:26" s="29" customFormat="1" outlineLevel="1" collapsed="1" x14ac:dyDescent="0.25">
      <c r="A63" s="28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787.34</v>
      </c>
      <c r="Q63" s="1"/>
      <c r="R63" s="5">
        <f t="shared" si="40"/>
        <v>0</v>
      </c>
      <c r="S63" s="1"/>
      <c r="T63" s="1">
        <f>SUM(OSRRefT22_11x_0)</f>
        <v>2183</v>
      </c>
      <c r="U63" s="1"/>
      <c r="V63" s="5">
        <f t="shared" si="41"/>
        <v>0</v>
      </c>
      <c r="W63" s="1"/>
      <c r="X63" s="1">
        <f t="shared" si="42"/>
        <v>-1395.6599999999999</v>
      </c>
      <c r="Y63" s="1"/>
      <c r="Z63" s="5">
        <f t="shared" si="43"/>
        <v>-0.63933119560238194</v>
      </c>
    </row>
    <row r="64" spans="1:26" s="24" customFormat="1" hidden="1" outlineLevel="2" x14ac:dyDescent="0.25">
      <c r="A64" s="27"/>
      <c r="B64" s="11" t="str">
        <f>CONCATENATE("          ", "6312", " - ", "FIRE &amp; THEFT INSURANCE")</f>
        <v xml:space="preserve">          6312 - FIRE &amp; THEFT INSURANCE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780</v>
      </c>
      <c r="U64" s="2"/>
      <c r="V64" s="7">
        <f t="shared" si="41"/>
        <v>0</v>
      </c>
      <c r="W64" s="2"/>
      <c r="X64" s="6">
        <f t="shared" si="42"/>
        <v>-780</v>
      </c>
      <c r="Y64" s="2"/>
      <c r="Z64" s="7">
        <f t="shared" si="43"/>
        <v>-1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393.67</v>
      </c>
      <c r="E65" s="2"/>
      <c r="F65" s="7">
        <f t="shared" si="36"/>
        <v>0</v>
      </c>
      <c r="G65" s="2"/>
      <c r="H65" s="6">
        <v>432</v>
      </c>
      <c r="I65" s="2"/>
      <c r="J65" s="7">
        <f t="shared" si="37"/>
        <v>0</v>
      </c>
      <c r="K65" s="2"/>
      <c r="L65" s="6">
        <f t="shared" si="38"/>
        <v>-38.329999999999984</v>
      </c>
      <c r="M65" s="2"/>
      <c r="N65" s="7">
        <f t="shared" si="39"/>
        <v>-8.8726851851851821E-2</v>
      </c>
      <c r="O65" s="11"/>
      <c r="P65" s="6">
        <v>787.34</v>
      </c>
      <c r="Q65" s="2"/>
      <c r="R65" s="7">
        <f t="shared" si="40"/>
        <v>0</v>
      </c>
      <c r="S65" s="2"/>
      <c r="T65" s="6">
        <v>1403</v>
      </c>
      <c r="U65" s="2"/>
      <c r="V65" s="7">
        <f t="shared" si="41"/>
        <v>0</v>
      </c>
      <c r="W65" s="2"/>
      <c r="X65" s="6">
        <f t="shared" si="42"/>
        <v>-615.66</v>
      </c>
      <c r="Y65" s="2"/>
      <c r="Z65" s="7">
        <f t="shared" si="43"/>
        <v>-0.43881682109764786</v>
      </c>
    </row>
    <row r="66" spans="1:26" s="29" customFormat="1" outlineLevel="1" collapsed="1" x14ac:dyDescent="0.25">
      <c r="A66" s="28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12982.84</v>
      </c>
      <c r="E66" s="1"/>
      <c r="F66" s="5">
        <f t="shared" ref="F66:F70" si="44">IF(D$12=0,0,D66/D$12)</f>
        <v>0</v>
      </c>
      <c r="G66" s="1"/>
      <c r="H66" s="1">
        <f>SUM(OSRRefH22_12x_0)</f>
        <v>2333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10649.84</v>
      </c>
      <c r="M66" s="1"/>
      <c r="N66" s="5">
        <f t="shared" ref="N66:N70" si="47">IF(H66=0,0,L66/H66)</f>
        <v>4.5648692670381488</v>
      </c>
      <c r="O66" s="14"/>
      <c r="P66" s="1">
        <f>SUM(OSRRefP22_12x_0)</f>
        <v>14737.84</v>
      </c>
      <c r="Q66" s="1"/>
      <c r="R66" s="5">
        <f t="shared" ref="R66:R70" si="48">IF(P$12=0,0,P66/P$12)</f>
        <v>0</v>
      </c>
      <c r="S66" s="1"/>
      <c r="T66" s="1">
        <f>SUM(OSRRefT22_12x_0)</f>
        <v>18166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-3428.16</v>
      </c>
      <c r="Y66" s="1"/>
      <c r="Z66" s="5">
        <f t="shared" ref="Z66:Z70" si="51">IF(T66=0,0,X66/T66)</f>
        <v>-0.18871298029285477</v>
      </c>
    </row>
    <row r="67" spans="1:26" s="24" customFormat="1" hidden="1" outlineLevel="2" x14ac:dyDescent="0.25">
      <c r="A67" s="27"/>
      <c r="B67" s="11" t="str">
        <f>CONCATENATE("          ", "6331", " - ", "INDIRECT COSTS-AUXILIARY ORGAN")</f>
        <v xml:space="preserve">          6331 - INDIRECT COSTS-AUXILIARY ORGAN</v>
      </c>
      <c r="C67" s="11"/>
      <c r="D67" s="6">
        <v>11585.75</v>
      </c>
      <c r="E67" s="2"/>
      <c r="F67" s="7">
        <f t="shared" si="44"/>
        <v>0</v>
      </c>
      <c r="G67" s="2"/>
      <c r="H67" s="6"/>
      <c r="I67" s="2"/>
      <c r="J67" s="7">
        <f t="shared" si="45"/>
        <v>0</v>
      </c>
      <c r="K67" s="2"/>
      <c r="L67" s="6">
        <f t="shared" si="46"/>
        <v>11585.75</v>
      </c>
      <c r="M67" s="2"/>
      <c r="N67" s="7">
        <f t="shared" si="47"/>
        <v>0</v>
      </c>
      <c r="O67" s="11"/>
      <c r="P67" s="6">
        <v>11585.75</v>
      </c>
      <c r="Q67" s="2"/>
      <c r="R67" s="7">
        <f t="shared" si="48"/>
        <v>0</v>
      </c>
      <c r="S67" s="2"/>
      <c r="T67" s="6">
        <v>13500</v>
      </c>
      <c r="U67" s="2"/>
      <c r="V67" s="7">
        <f t="shared" si="49"/>
        <v>0</v>
      </c>
      <c r="W67" s="2"/>
      <c r="X67" s="6">
        <f t="shared" si="50"/>
        <v>-1914.25</v>
      </c>
      <c r="Y67" s="2"/>
      <c r="Z67" s="7">
        <f t="shared" si="51"/>
        <v>-0.14179629629629631</v>
      </c>
    </row>
    <row r="68" spans="1:26" s="24" customFormat="1" hidden="1" outlineLevel="2" x14ac:dyDescent="0.25">
      <c r="A68" s="27"/>
      <c r="B68" s="11" t="str">
        <f>CONCATENATE("          ", "6332", " - ", "CONSULTANT FEES")</f>
        <v xml:space="preserve">          6332 - CONSULTANT FEES</v>
      </c>
      <c r="C68" s="11"/>
      <c r="D68" s="6"/>
      <c r="E68" s="2"/>
      <c r="F68" s="7">
        <f t="shared" si="44"/>
        <v>0</v>
      </c>
      <c r="G68" s="2"/>
      <c r="H68" s="6">
        <v>250</v>
      </c>
      <c r="I68" s="2"/>
      <c r="J68" s="7">
        <f t="shared" si="45"/>
        <v>0</v>
      </c>
      <c r="K68" s="2"/>
      <c r="L68" s="6">
        <f t="shared" si="46"/>
        <v>-250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500</v>
      </c>
      <c r="U68" s="2"/>
      <c r="V68" s="7">
        <f t="shared" si="49"/>
        <v>0</v>
      </c>
      <c r="W68" s="2"/>
      <c r="X68" s="6">
        <f t="shared" si="50"/>
        <v>-500</v>
      </c>
      <c r="Y68" s="2"/>
      <c r="Z68" s="7">
        <f t="shared" si="51"/>
        <v>-1</v>
      </c>
    </row>
    <row r="69" spans="1:26" s="24" customFormat="1" hidden="1" outlineLevel="2" x14ac:dyDescent="0.25">
      <c r="A69" s="27"/>
      <c r="B69" s="11" t="str">
        <f>CONCATENATE("          ", "6334", " - ", "LEGAL COUNCIL EXPENSE")</f>
        <v xml:space="preserve">          6334 - LEGAL COUNCIL EXPENSE</v>
      </c>
      <c r="C69" s="11"/>
      <c r="D69" s="6">
        <v>1050</v>
      </c>
      <c r="E69" s="2"/>
      <c r="F69" s="7">
        <f t="shared" si="44"/>
        <v>0</v>
      </c>
      <c r="G69" s="2"/>
      <c r="H69" s="6">
        <v>833</v>
      </c>
      <c r="I69" s="2"/>
      <c r="J69" s="7">
        <f t="shared" si="45"/>
        <v>0</v>
      </c>
      <c r="K69" s="2"/>
      <c r="L69" s="6">
        <f t="shared" si="46"/>
        <v>217</v>
      </c>
      <c r="M69" s="2"/>
      <c r="N69" s="7">
        <f t="shared" si="47"/>
        <v>0.26050420168067229</v>
      </c>
      <c r="O69" s="11"/>
      <c r="P69" s="6">
        <v>1150</v>
      </c>
      <c r="Q69" s="2"/>
      <c r="R69" s="7">
        <f t="shared" si="48"/>
        <v>0</v>
      </c>
      <c r="S69" s="2"/>
      <c r="T69" s="6">
        <v>1666</v>
      </c>
      <c r="U69" s="2"/>
      <c r="V69" s="7">
        <f t="shared" si="49"/>
        <v>0</v>
      </c>
      <c r="W69" s="2"/>
      <c r="X69" s="6">
        <f t="shared" si="50"/>
        <v>-516</v>
      </c>
      <c r="Y69" s="2"/>
      <c r="Z69" s="7">
        <f t="shared" si="51"/>
        <v>-0.30972388955582231</v>
      </c>
    </row>
    <row r="70" spans="1:26" s="24" customFormat="1" hidden="1" outlineLevel="2" x14ac:dyDescent="0.25">
      <c r="A70" s="27"/>
      <c r="B70" s="11" t="str">
        <f>CONCATENATE("          ", "6336", " - ", "PROFESSIONAL SERVICES")</f>
        <v xml:space="preserve">          6336 - PROFESSIONAL SERVICES</v>
      </c>
      <c r="C70" s="11"/>
      <c r="D70" s="6">
        <v>347.09</v>
      </c>
      <c r="E70" s="2"/>
      <c r="F70" s="7">
        <f t="shared" si="44"/>
        <v>0</v>
      </c>
      <c r="G70" s="2"/>
      <c r="H70" s="6">
        <v>1250</v>
      </c>
      <c r="I70" s="2"/>
      <c r="J70" s="7">
        <f t="shared" si="45"/>
        <v>0</v>
      </c>
      <c r="K70" s="2"/>
      <c r="L70" s="6">
        <f t="shared" si="46"/>
        <v>-902.91000000000008</v>
      </c>
      <c r="M70" s="2"/>
      <c r="N70" s="7">
        <f t="shared" si="47"/>
        <v>-0.72232800000000008</v>
      </c>
      <c r="O70" s="11"/>
      <c r="P70" s="6">
        <v>2002.09</v>
      </c>
      <c r="Q70" s="2"/>
      <c r="R70" s="7">
        <f t="shared" si="48"/>
        <v>0</v>
      </c>
      <c r="S70" s="2"/>
      <c r="T70" s="6">
        <v>2500</v>
      </c>
      <c r="U70" s="2"/>
      <c r="V70" s="7">
        <f t="shared" si="49"/>
        <v>0</v>
      </c>
      <c r="W70" s="2"/>
      <c r="X70" s="6">
        <f t="shared" si="50"/>
        <v>-497.91000000000008</v>
      </c>
      <c r="Y70" s="2"/>
      <c r="Z70" s="7">
        <f t="shared" si="51"/>
        <v>-0.19916400000000004</v>
      </c>
    </row>
    <row r="71" spans="1:26" s="29" customFormat="1" outlineLevel="1" collapsed="1" x14ac:dyDescent="0.25">
      <c r="A71" s="28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19368.66</v>
      </c>
      <c r="E71" s="1"/>
      <c r="F71" s="5">
        <f t="shared" ref="F71:F75" si="52">IF(D$12=0,0,D71/D$12)</f>
        <v>0</v>
      </c>
      <c r="G71" s="1"/>
      <c r="H71" s="1">
        <f>SUM(OSRRefH22_13x_0)</f>
        <v>26402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-7033.34</v>
      </c>
      <c r="M71" s="1"/>
      <c r="N71" s="5">
        <f t="shared" ref="N71:N75" si="55">IF(H71=0,0,L71/H71)</f>
        <v>-0.26639421255965456</v>
      </c>
      <c r="O71" s="14"/>
      <c r="P71" s="1">
        <f>SUM(OSRRefP22_13x_0)</f>
        <v>40175.670000000006</v>
      </c>
      <c r="Q71" s="1"/>
      <c r="R71" s="5">
        <f t="shared" ref="R71:R75" si="56">IF(P$12=0,0,P71/P$12)</f>
        <v>0</v>
      </c>
      <c r="S71" s="1"/>
      <c r="T71" s="1">
        <f>SUM(OSRRefT22_13x_0)</f>
        <v>40354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-178.32999999999447</v>
      </c>
      <c r="Y71" s="1"/>
      <c r="Z71" s="5">
        <f t="shared" ref="Z71:Z75" si="59">IF(T71=0,0,X71/T71)</f>
        <v>-4.4191406056399481E-3</v>
      </c>
    </row>
    <row r="72" spans="1:26" s="24" customFormat="1" hidden="1" outlineLevel="2" x14ac:dyDescent="0.25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3945.66</v>
      </c>
      <c r="E72" s="2"/>
      <c r="F72" s="7">
        <f t="shared" si="52"/>
        <v>0</v>
      </c>
      <c r="G72" s="2"/>
      <c r="H72" s="6">
        <v>8470</v>
      </c>
      <c r="I72" s="2"/>
      <c r="J72" s="7">
        <f t="shared" si="53"/>
        <v>0</v>
      </c>
      <c r="K72" s="2"/>
      <c r="L72" s="6">
        <f t="shared" si="54"/>
        <v>-4524.34</v>
      </c>
      <c r="M72" s="2"/>
      <c r="N72" s="7">
        <f t="shared" si="55"/>
        <v>-0.5341605667060213</v>
      </c>
      <c r="O72" s="11"/>
      <c r="P72" s="6">
        <v>8477.86</v>
      </c>
      <c r="Q72" s="2"/>
      <c r="R72" s="7">
        <f t="shared" si="56"/>
        <v>0</v>
      </c>
      <c r="S72" s="2"/>
      <c r="T72" s="6">
        <v>16940</v>
      </c>
      <c r="U72" s="2"/>
      <c r="V72" s="7">
        <f t="shared" si="57"/>
        <v>0</v>
      </c>
      <c r="W72" s="2"/>
      <c r="X72" s="6">
        <f t="shared" si="58"/>
        <v>-8462.14</v>
      </c>
      <c r="Y72" s="2"/>
      <c r="Z72" s="7">
        <f t="shared" si="59"/>
        <v>-0.49953600944510029</v>
      </c>
    </row>
    <row r="73" spans="1:26" s="24" customFormat="1" hidden="1" outlineLevel="2" x14ac:dyDescent="0.25">
      <c r="A73" s="27"/>
      <c r="B73" s="11" t="str">
        <f>CONCATENATE("          ", "6372", " - ", "COMPUTER HARDWARE MAINTENANCE")</f>
        <v xml:space="preserve">          6372 - COMPUTER HARDWARE MAINTENANCE</v>
      </c>
      <c r="C73" s="11"/>
      <c r="D73" s="6"/>
      <c r="E73" s="2"/>
      <c r="F73" s="7">
        <f t="shared" si="52"/>
        <v>0</v>
      </c>
      <c r="G73" s="2"/>
      <c r="H73" s="6">
        <v>1600</v>
      </c>
      <c r="I73" s="2"/>
      <c r="J73" s="7">
        <f t="shared" si="53"/>
        <v>0</v>
      </c>
      <c r="K73" s="2"/>
      <c r="L73" s="6">
        <f t="shared" si="54"/>
        <v>-1600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3200</v>
      </c>
      <c r="U73" s="2"/>
      <c r="V73" s="7">
        <f t="shared" si="57"/>
        <v>0</v>
      </c>
      <c r="W73" s="2"/>
      <c r="X73" s="6">
        <f t="shared" si="58"/>
        <v>-3200</v>
      </c>
      <c r="Y73" s="2"/>
      <c r="Z73" s="7">
        <f t="shared" si="59"/>
        <v>-1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6">
        <v>15423</v>
      </c>
      <c r="E74" s="2"/>
      <c r="F74" s="7">
        <f t="shared" si="52"/>
        <v>0</v>
      </c>
      <c r="G74" s="2"/>
      <c r="H74" s="6">
        <v>16332</v>
      </c>
      <c r="I74" s="2"/>
      <c r="J74" s="7">
        <f t="shared" si="53"/>
        <v>0</v>
      </c>
      <c r="K74" s="2"/>
      <c r="L74" s="6">
        <f t="shared" si="54"/>
        <v>-909</v>
      </c>
      <c r="M74" s="2"/>
      <c r="N74" s="7">
        <f t="shared" si="55"/>
        <v>-5.5657604702424687E-2</v>
      </c>
      <c r="O74" s="11"/>
      <c r="P74" s="6">
        <v>30878.620000000003</v>
      </c>
      <c r="Q74" s="2"/>
      <c r="R74" s="7">
        <f t="shared" si="56"/>
        <v>0</v>
      </c>
      <c r="S74" s="2"/>
      <c r="T74" s="6">
        <v>20214</v>
      </c>
      <c r="U74" s="2"/>
      <c r="V74" s="7">
        <f t="shared" si="57"/>
        <v>0</v>
      </c>
      <c r="W74" s="2"/>
      <c r="X74" s="6">
        <f t="shared" si="58"/>
        <v>10664.620000000003</v>
      </c>
      <c r="Y74" s="2"/>
      <c r="Z74" s="7">
        <f t="shared" si="59"/>
        <v>0.52758583160186023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819.19</v>
      </c>
      <c r="Q75" s="2"/>
      <c r="R75" s="7">
        <f t="shared" si="56"/>
        <v>0</v>
      </c>
      <c r="S75" s="2"/>
      <c r="T75" s="6"/>
      <c r="U75" s="2"/>
      <c r="V75" s="7">
        <f t="shared" si="57"/>
        <v>0</v>
      </c>
      <c r="W75" s="2"/>
      <c r="X75" s="6">
        <f t="shared" si="58"/>
        <v>819.19</v>
      </c>
      <c r="Y75" s="2"/>
      <c r="Z75" s="7">
        <f t="shared" si="59"/>
        <v>0</v>
      </c>
    </row>
    <row r="76" spans="1:26" s="29" customFormat="1" outlineLevel="1" collapsed="1" x14ac:dyDescent="0.25">
      <c r="A76" s="28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0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-525</v>
      </c>
      <c r="M76" s="1"/>
      <c r="N76" s="5">
        <f t="shared" ref="N76:N78" si="63">IF(H76=0,0,L76/H76)</f>
        <v>-1</v>
      </c>
      <c r="O76" s="14"/>
      <c r="P76" s="1">
        <f>SUM(OSRRefP22_14x_0)</f>
        <v>512.48</v>
      </c>
      <c r="Q76" s="1"/>
      <c r="R76" s="5">
        <f t="shared" ref="R76:R78" si="64">IF(P$12=0,0,P76/P$12)</f>
        <v>0</v>
      </c>
      <c r="S76" s="1"/>
      <c r="T76" s="1">
        <f>SUM(OSRRefT22_14x_0)</f>
        <v>1050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-537.52</v>
      </c>
      <c r="Y76" s="1"/>
      <c r="Z76" s="5">
        <f t="shared" ref="Z76:Z78" si="67">IF(T76=0,0,X76/T76)</f>
        <v>-0.51192380952380956</v>
      </c>
    </row>
    <row r="77" spans="1:26" s="24" customFormat="1" hidden="1" outlineLevel="2" x14ac:dyDescent="0.25">
      <c r="A77" s="27"/>
      <c r="B77" s="11" t="str">
        <f>CONCATENATE("          ", "6281", " - ", "STORAGE FEE")</f>
        <v xml:space="preserve">          6281 - STORAGE FEE</v>
      </c>
      <c r="C77" s="11"/>
      <c r="D77" s="6"/>
      <c r="E77" s="2"/>
      <c r="F77" s="7">
        <f t="shared" si="60"/>
        <v>0</v>
      </c>
      <c r="G77" s="2"/>
      <c r="H77" s="6">
        <v>500</v>
      </c>
      <c r="I77" s="2"/>
      <c r="J77" s="7">
        <f t="shared" si="61"/>
        <v>0</v>
      </c>
      <c r="K77" s="2"/>
      <c r="L77" s="6">
        <f t="shared" si="62"/>
        <v>-500</v>
      </c>
      <c r="M77" s="2"/>
      <c r="N77" s="7">
        <f t="shared" si="63"/>
        <v>-1</v>
      </c>
      <c r="O77" s="11"/>
      <c r="P77" s="6">
        <v>512.48</v>
      </c>
      <c r="Q77" s="2"/>
      <c r="R77" s="7">
        <f t="shared" si="64"/>
        <v>0</v>
      </c>
      <c r="S77" s="2"/>
      <c r="T77" s="6">
        <v>1000</v>
      </c>
      <c r="U77" s="2"/>
      <c r="V77" s="7">
        <f t="shared" si="65"/>
        <v>0</v>
      </c>
      <c r="W77" s="2"/>
      <c r="X77" s="6">
        <f t="shared" si="66"/>
        <v>-487.52</v>
      </c>
      <c r="Y77" s="2"/>
      <c r="Z77" s="7">
        <f t="shared" si="67"/>
        <v>-0.48752000000000001</v>
      </c>
    </row>
    <row r="78" spans="1:26" s="24" customFormat="1" hidden="1" outlineLevel="2" x14ac:dyDescent="0.25">
      <c r="A78" s="27"/>
      <c r="B78" s="11" t="str">
        <f>CONCATENATE("          ", "6286", " - ", "LAUNDRY EXPENSE")</f>
        <v xml:space="preserve">          6286 - LAUNDRY EXPENSE</v>
      </c>
      <c r="C78" s="11"/>
      <c r="D78" s="6"/>
      <c r="E78" s="2"/>
      <c r="F78" s="7">
        <f t="shared" si="60"/>
        <v>0</v>
      </c>
      <c r="G78" s="2"/>
      <c r="H78" s="6">
        <v>25</v>
      </c>
      <c r="I78" s="2"/>
      <c r="J78" s="7">
        <f t="shared" si="61"/>
        <v>0</v>
      </c>
      <c r="K78" s="2"/>
      <c r="L78" s="6">
        <f t="shared" si="62"/>
        <v>-25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50</v>
      </c>
      <c r="U78" s="2"/>
      <c r="V78" s="7">
        <f t="shared" si="65"/>
        <v>0</v>
      </c>
      <c r="W78" s="2"/>
      <c r="X78" s="6">
        <f t="shared" si="66"/>
        <v>-50</v>
      </c>
      <c r="Y78" s="2"/>
      <c r="Z78" s="7">
        <f t="shared" si="67"/>
        <v>-1</v>
      </c>
    </row>
    <row r="79" spans="1:26" s="29" customFormat="1" outlineLevel="1" collapsed="1" x14ac:dyDescent="0.25">
      <c r="A79" s="28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1725</v>
      </c>
      <c r="E79" s="1"/>
      <c r="F79" s="5">
        <f t="shared" ref="F79:F81" si="68">IF(D$12=0,0,D79/D$12)</f>
        <v>0</v>
      </c>
      <c r="G79" s="1"/>
      <c r="H79" s="1">
        <f>SUM(OSRRefH22_15x_0)</f>
        <v>1155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570</v>
      </c>
      <c r="M79" s="1"/>
      <c r="N79" s="5">
        <f t="shared" ref="N79:N81" si="71">IF(H79=0,0,L79/H79)</f>
        <v>0.4935064935064935</v>
      </c>
      <c r="O79" s="14"/>
      <c r="P79" s="1">
        <f>SUM(OSRRefP22_15x_0)</f>
        <v>1725</v>
      </c>
      <c r="Q79" s="1"/>
      <c r="R79" s="5">
        <f t="shared" ref="R79:R81" si="72">IF(P$12=0,0,P79/P$12)</f>
        <v>0</v>
      </c>
      <c r="S79" s="1"/>
      <c r="T79" s="1">
        <f>SUM(OSRRefT22_15x_0)</f>
        <v>2760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-1035</v>
      </c>
      <c r="Y79" s="1"/>
      <c r="Z79" s="5">
        <f t="shared" ref="Z79:Z81" si="75">IF(T79=0,0,X79/T79)</f>
        <v>-0.375</v>
      </c>
    </row>
    <row r="80" spans="1:26" s="24" customFormat="1" hidden="1" outlineLevel="2" x14ac:dyDescent="0.25">
      <c r="A80" s="27"/>
      <c r="B80" s="11" t="str">
        <f>CONCATENATE("          ", "6258", " - ", "MEMBERSHIP DUES")</f>
        <v xml:space="preserve">          6258 - MEMBERSHIP DUES</v>
      </c>
      <c r="C80" s="11"/>
      <c r="D80" s="6">
        <v>1725</v>
      </c>
      <c r="E80" s="2"/>
      <c r="F80" s="7">
        <f t="shared" si="68"/>
        <v>0</v>
      </c>
      <c r="G80" s="2"/>
      <c r="H80" s="6">
        <v>1055</v>
      </c>
      <c r="I80" s="2"/>
      <c r="J80" s="7">
        <f t="shared" si="69"/>
        <v>0</v>
      </c>
      <c r="K80" s="2"/>
      <c r="L80" s="6">
        <f t="shared" si="70"/>
        <v>670</v>
      </c>
      <c r="M80" s="2"/>
      <c r="N80" s="7">
        <f t="shared" si="71"/>
        <v>0.63507109004739337</v>
      </c>
      <c r="O80" s="11"/>
      <c r="P80" s="6">
        <v>1725</v>
      </c>
      <c r="Q80" s="2"/>
      <c r="R80" s="7">
        <f t="shared" si="72"/>
        <v>0</v>
      </c>
      <c r="S80" s="2"/>
      <c r="T80" s="6">
        <v>2560</v>
      </c>
      <c r="U80" s="2"/>
      <c r="V80" s="7">
        <f t="shared" si="73"/>
        <v>0</v>
      </c>
      <c r="W80" s="2"/>
      <c r="X80" s="6">
        <f t="shared" si="74"/>
        <v>-835</v>
      </c>
      <c r="Y80" s="2"/>
      <c r="Z80" s="7">
        <f t="shared" si="75"/>
        <v>-0.326171875</v>
      </c>
    </row>
    <row r="81" spans="1:26" s="24" customFormat="1" hidden="1" outlineLevel="2" x14ac:dyDescent="0.25">
      <c r="A81" s="27"/>
      <c r="B81" s="11" t="str">
        <f>CONCATENATE("          ", "6275", " - ", "SUBSCRIPTIONS")</f>
        <v xml:space="preserve">          6275 - SUBSCRIPTIONS</v>
      </c>
      <c r="C81" s="11"/>
      <c r="D81" s="6"/>
      <c r="E81" s="2"/>
      <c r="F81" s="7">
        <f t="shared" si="68"/>
        <v>0</v>
      </c>
      <c r="G81" s="2"/>
      <c r="H81" s="6">
        <v>100</v>
      </c>
      <c r="I81" s="2"/>
      <c r="J81" s="7">
        <f t="shared" si="69"/>
        <v>0</v>
      </c>
      <c r="K81" s="2"/>
      <c r="L81" s="6">
        <f t="shared" si="70"/>
        <v>-100</v>
      </c>
      <c r="M81" s="2"/>
      <c r="N81" s="7">
        <f t="shared" si="71"/>
        <v>-1</v>
      </c>
      <c r="O81" s="11"/>
      <c r="P81" s="6"/>
      <c r="Q81" s="2"/>
      <c r="R81" s="7">
        <f t="shared" si="72"/>
        <v>0</v>
      </c>
      <c r="S81" s="2"/>
      <c r="T81" s="6">
        <v>200</v>
      </c>
      <c r="U81" s="2"/>
      <c r="V81" s="7">
        <f t="shared" si="73"/>
        <v>0</v>
      </c>
      <c r="W81" s="2"/>
      <c r="X81" s="6">
        <f t="shared" si="74"/>
        <v>-200</v>
      </c>
      <c r="Y81" s="2"/>
      <c r="Z81" s="7">
        <f t="shared" si="75"/>
        <v>-1</v>
      </c>
    </row>
    <row r="82" spans="1:26" s="29" customFormat="1" outlineLevel="1" collapsed="1" x14ac:dyDescent="0.25">
      <c r="A82" s="28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584.02</v>
      </c>
      <c r="E82" s="1"/>
      <c r="F82" s="5">
        <f t="shared" ref="F82:F87" si="76">IF(D$12=0,0,D82/D$12)</f>
        <v>0</v>
      </c>
      <c r="G82" s="1"/>
      <c r="H82" s="1">
        <f>SUM(OSRRefH22_16x_0)</f>
        <v>6917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-6332.98</v>
      </c>
      <c r="M82" s="1"/>
      <c r="N82" s="5">
        <f t="shared" ref="N82:N87" si="79">IF(H82=0,0,L82/H82)</f>
        <v>-0.91556744253288991</v>
      </c>
      <c r="O82" s="14"/>
      <c r="P82" s="1">
        <f>SUM(OSRRefP22_16x_0)</f>
        <v>1682.81</v>
      </c>
      <c r="Q82" s="1"/>
      <c r="R82" s="5">
        <f t="shared" ref="R82:R87" si="80">IF(P$12=0,0,P82/P$12)</f>
        <v>0</v>
      </c>
      <c r="S82" s="1"/>
      <c r="T82" s="1">
        <f>SUM(OSRRefT22_16x_0)</f>
        <v>25918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-24235.19</v>
      </c>
      <c r="Y82" s="1"/>
      <c r="Z82" s="5">
        <f t="shared" ref="Z82:Z87" si="83">IF(T82=0,0,X82/T82)</f>
        <v>-0.93507176479666632</v>
      </c>
    </row>
    <row r="83" spans="1:26" s="24" customFormat="1" hidden="1" outlineLevel="2" x14ac:dyDescent="0.25">
      <c r="A83" s="27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76"/>
        <v>0</v>
      </c>
      <c r="G83" s="2"/>
      <c r="H83" s="6">
        <v>1000</v>
      </c>
      <c r="I83" s="2"/>
      <c r="J83" s="7">
        <f t="shared" si="77"/>
        <v>0</v>
      </c>
      <c r="K83" s="2"/>
      <c r="L83" s="6">
        <f t="shared" si="78"/>
        <v>-1000</v>
      </c>
      <c r="M83" s="2"/>
      <c r="N83" s="7">
        <f t="shared" si="79"/>
        <v>-1</v>
      </c>
      <c r="O83" s="11"/>
      <c r="P83" s="6"/>
      <c r="Q83" s="2"/>
      <c r="R83" s="7">
        <f t="shared" si="80"/>
        <v>0</v>
      </c>
      <c r="S83" s="2"/>
      <c r="T83" s="6">
        <v>11584</v>
      </c>
      <c r="U83" s="2"/>
      <c r="V83" s="7">
        <f t="shared" si="81"/>
        <v>0</v>
      </c>
      <c r="W83" s="2"/>
      <c r="X83" s="6">
        <f t="shared" si="82"/>
        <v>-11584</v>
      </c>
      <c r="Y83" s="2"/>
      <c r="Z83" s="7">
        <f t="shared" si="83"/>
        <v>-1</v>
      </c>
    </row>
    <row r="84" spans="1:26" s="24" customFormat="1" hidden="1" outlineLevel="2" x14ac:dyDescent="0.25">
      <c r="A84" s="27"/>
      <c r="B84" s="11" t="str">
        <f>CONCATENATE("          ", "6235", " - ", "COVID-19 EXPENSES")</f>
        <v xml:space="preserve">          6235 - COVID-19 EXPENSES</v>
      </c>
      <c r="C84" s="11"/>
      <c r="D84" s="6"/>
      <c r="E84" s="2"/>
      <c r="F84" s="7">
        <f t="shared" si="76"/>
        <v>0</v>
      </c>
      <c r="G84" s="2"/>
      <c r="H84" s="6">
        <v>417</v>
      </c>
      <c r="I84" s="2"/>
      <c r="J84" s="7">
        <f t="shared" si="77"/>
        <v>0</v>
      </c>
      <c r="K84" s="2"/>
      <c r="L84" s="6">
        <f t="shared" si="78"/>
        <v>-417</v>
      </c>
      <c r="M84" s="2"/>
      <c r="N84" s="7">
        <f t="shared" si="79"/>
        <v>-1</v>
      </c>
      <c r="O84" s="11"/>
      <c r="P84" s="6">
        <v>744.18</v>
      </c>
      <c r="Q84" s="2"/>
      <c r="R84" s="7">
        <f t="shared" si="80"/>
        <v>0</v>
      </c>
      <c r="S84" s="2"/>
      <c r="T84" s="6">
        <v>834</v>
      </c>
      <c r="U84" s="2"/>
      <c r="V84" s="7">
        <f t="shared" si="81"/>
        <v>0</v>
      </c>
      <c r="W84" s="2"/>
      <c r="X84" s="6">
        <f t="shared" si="82"/>
        <v>-89.82000000000005</v>
      </c>
      <c r="Y84" s="2"/>
      <c r="Z84" s="7">
        <f t="shared" si="83"/>
        <v>-0.10769784172661877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>
        <v>537.98</v>
      </c>
      <c r="E85" s="2"/>
      <c r="F85" s="7">
        <f t="shared" si="76"/>
        <v>0</v>
      </c>
      <c r="G85" s="2"/>
      <c r="H85" s="6">
        <v>5083</v>
      </c>
      <c r="I85" s="2"/>
      <c r="J85" s="7">
        <f t="shared" si="77"/>
        <v>0</v>
      </c>
      <c r="K85" s="2"/>
      <c r="L85" s="6">
        <f t="shared" si="78"/>
        <v>-4545.0200000000004</v>
      </c>
      <c r="M85" s="2"/>
      <c r="N85" s="7">
        <f t="shared" si="79"/>
        <v>-0.89416092858548113</v>
      </c>
      <c r="O85" s="11"/>
      <c r="P85" s="6">
        <v>790.92</v>
      </c>
      <c r="Q85" s="2"/>
      <c r="R85" s="7">
        <f t="shared" si="80"/>
        <v>0</v>
      </c>
      <c r="S85" s="2"/>
      <c r="T85" s="6">
        <v>7666</v>
      </c>
      <c r="U85" s="2"/>
      <c r="V85" s="7">
        <f t="shared" si="81"/>
        <v>0</v>
      </c>
      <c r="W85" s="2"/>
      <c r="X85" s="6">
        <f t="shared" si="82"/>
        <v>-6875.08</v>
      </c>
      <c r="Y85" s="2"/>
      <c r="Z85" s="7">
        <f t="shared" si="83"/>
        <v>-0.89682755022175842</v>
      </c>
    </row>
    <row r="86" spans="1:26" s="24" customFormat="1" hidden="1" outlineLevel="2" x14ac:dyDescent="0.25">
      <c r="A86" s="27"/>
      <c r="B86" s="11" t="str">
        <f>CONCATENATE("          ", "6244", " - ", "SAFETY SUPPLY EXPENSE")</f>
        <v xml:space="preserve">          6244 - SAFETY SUPPLY EXPENSE</v>
      </c>
      <c r="C86" s="11"/>
      <c r="D86" s="6">
        <v>46.04</v>
      </c>
      <c r="E86" s="2"/>
      <c r="F86" s="7">
        <f t="shared" si="76"/>
        <v>0</v>
      </c>
      <c r="G86" s="2"/>
      <c r="H86" s="6">
        <v>417</v>
      </c>
      <c r="I86" s="2"/>
      <c r="J86" s="7">
        <f t="shared" si="77"/>
        <v>0</v>
      </c>
      <c r="K86" s="2"/>
      <c r="L86" s="6">
        <f t="shared" si="78"/>
        <v>-370.96</v>
      </c>
      <c r="M86" s="2"/>
      <c r="N86" s="7">
        <f t="shared" si="79"/>
        <v>-0.88959232613908867</v>
      </c>
      <c r="O86" s="11"/>
      <c r="P86" s="6">
        <v>147.71</v>
      </c>
      <c r="Q86" s="2"/>
      <c r="R86" s="7">
        <f t="shared" si="80"/>
        <v>0</v>
      </c>
      <c r="S86" s="2"/>
      <c r="T86" s="6">
        <v>834</v>
      </c>
      <c r="U86" s="2"/>
      <c r="V86" s="7">
        <f t="shared" si="81"/>
        <v>0</v>
      </c>
      <c r="W86" s="2"/>
      <c r="X86" s="6">
        <f t="shared" si="82"/>
        <v>-686.29</v>
      </c>
      <c r="Y86" s="2"/>
      <c r="Z86" s="7">
        <f t="shared" si="83"/>
        <v>-0.82288968824940045</v>
      </c>
    </row>
    <row r="87" spans="1:26" s="24" customFormat="1" hidden="1" outlineLevel="2" x14ac:dyDescent="0.25">
      <c r="A87" s="27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76"/>
        <v>0</v>
      </c>
      <c r="G87" s="2"/>
      <c r="H87" s="6"/>
      <c r="I87" s="2"/>
      <c r="J87" s="7">
        <f t="shared" si="77"/>
        <v>0</v>
      </c>
      <c r="K87" s="2"/>
      <c r="L87" s="6">
        <f t="shared" si="78"/>
        <v>0</v>
      </c>
      <c r="M87" s="2"/>
      <c r="N87" s="7">
        <f t="shared" si="79"/>
        <v>0</v>
      </c>
      <c r="O87" s="11"/>
      <c r="P87" s="6"/>
      <c r="Q87" s="2"/>
      <c r="R87" s="7">
        <f t="shared" si="80"/>
        <v>0</v>
      </c>
      <c r="S87" s="2"/>
      <c r="T87" s="6">
        <v>5000</v>
      </c>
      <c r="U87" s="2"/>
      <c r="V87" s="7">
        <f t="shared" si="81"/>
        <v>0</v>
      </c>
      <c r="W87" s="2"/>
      <c r="X87" s="6">
        <f t="shared" si="82"/>
        <v>-5000</v>
      </c>
      <c r="Y87" s="2"/>
      <c r="Z87" s="7">
        <f t="shared" si="83"/>
        <v>-1</v>
      </c>
    </row>
    <row r="88" spans="1:26" s="29" customFormat="1" outlineLevel="1" collapsed="1" x14ac:dyDescent="0.25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2156.66</v>
      </c>
      <c r="E88" s="1"/>
      <c r="F88" s="5">
        <f t="shared" ref="F88:F90" si="84">IF(D$12=0,0,D88/D$12)</f>
        <v>0</v>
      </c>
      <c r="G88" s="1"/>
      <c r="H88" s="1">
        <f>SUM(OSRRefH22_17x_0)</f>
        <v>1435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721.65999999999985</v>
      </c>
      <c r="M88" s="1"/>
      <c r="N88" s="5">
        <f t="shared" ref="N88:N90" si="87">IF(H88=0,0,L88/H88)</f>
        <v>0.50289895470383261</v>
      </c>
      <c r="O88" s="14"/>
      <c r="P88" s="1">
        <f>SUM(OSRRefP22_17x_0)</f>
        <v>4171.09</v>
      </c>
      <c r="Q88" s="1"/>
      <c r="R88" s="5">
        <f t="shared" ref="R88:R90" si="88">IF(P$12=0,0,P88/P$12)</f>
        <v>0</v>
      </c>
      <c r="S88" s="1"/>
      <c r="T88" s="1">
        <f>SUM(OSRRefT22_17x_0)</f>
        <v>4670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-498.90999999999985</v>
      </c>
      <c r="Y88" s="1"/>
      <c r="Z88" s="5">
        <f t="shared" ref="Z88:Z90" si="91">IF(T88=0,0,X88/T88)</f>
        <v>-0.10683297644539612</v>
      </c>
    </row>
    <row r="89" spans="1:26" s="24" customFormat="1" hidden="1" outlineLevel="2" x14ac:dyDescent="0.25">
      <c r="A89" s="27"/>
      <c r="B89" s="11" t="str">
        <f>CONCATENATE("          ", "6303", " - ", "DATA PHONE LINES")</f>
        <v xml:space="preserve">          6303 - DATA PHONE LINES</v>
      </c>
      <c r="C89" s="11"/>
      <c r="D89" s="6">
        <v>78.989999999999995</v>
      </c>
      <c r="E89" s="2"/>
      <c r="F89" s="7">
        <f t="shared" si="84"/>
        <v>0</v>
      </c>
      <c r="G89" s="2"/>
      <c r="H89" s="6">
        <v>335</v>
      </c>
      <c r="I89" s="2"/>
      <c r="J89" s="7">
        <f t="shared" si="85"/>
        <v>0</v>
      </c>
      <c r="K89" s="2"/>
      <c r="L89" s="6">
        <f t="shared" si="86"/>
        <v>-256.01</v>
      </c>
      <c r="M89" s="2"/>
      <c r="N89" s="7">
        <f t="shared" si="87"/>
        <v>-0.76420895522388055</v>
      </c>
      <c r="O89" s="11"/>
      <c r="P89" s="6">
        <v>157.97999999999999</v>
      </c>
      <c r="Q89" s="2"/>
      <c r="R89" s="7">
        <f t="shared" si="88"/>
        <v>0</v>
      </c>
      <c r="S89" s="2"/>
      <c r="T89" s="6">
        <v>2470</v>
      </c>
      <c r="U89" s="2"/>
      <c r="V89" s="7">
        <f t="shared" si="89"/>
        <v>0</v>
      </c>
      <c r="W89" s="2"/>
      <c r="X89" s="6">
        <f t="shared" si="90"/>
        <v>-2312.02</v>
      </c>
      <c r="Y89" s="2"/>
      <c r="Z89" s="7">
        <f t="shared" si="91"/>
        <v>-0.93604048582995947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2077.67</v>
      </c>
      <c r="E90" s="2"/>
      <c r="F90" s="7">
        <f t="shared" si="84"/>
        <v>0</v>
      </c>
      <c r="G90" s="2"/>
      <c r="H90" s="6">
        <v>1100</v>
      </c>
      <c r="I90" s="2"/>
      <c r="J90" s="7">
        <f t="shared" si="85"/>
        <v>0</v>
      </c>
      <c r="K90" s="2"/>
      <c r="L90" s="6">
        <f t="shared" si="86"/>
        <v>977.67000000000007</v>
      </c>
      <c r="M90" s="2"/>
      <c r="N90" s="7">
        <f t="shared" si="87"/>
        <v>0.88879090909090919</v>
      </c>
      <c r="O90" s="11"/>
      <c r="P90" s="6">
        <v>4013.11</v>
      </c>
      <c r="Q90" s="2"/>
      <c r="R90" s="7">
        <f t="shared" si="88"/>
        <v>0</v>
      </c>
      <c r="S90" s="2"/>
      <c r="T90" s="6">
        <v>2200</v>
      </c>
      <c r="U90" s="2"/>
      <c r="V90" s="7">
        <f t="shared" si="89"/>
        <v>0</v>
      </c>
      <c r="W90" s="2"/>
      <c r="X90" s="6">
        <f t="shared" si="90"/>
        <v>1813.1100000000001</v>
      </c>
      <c r="Y90" s="2"/>
      <c r="Z90" s="7">
        <f t="shared" si="91"/>
        <v>0.8241409090909092</v>
      </c>
    </row>
    <row r="91" spans="1:26" s="29" customFormat="1" outlineLevel="1" collapsed="1" x14ac:dyDescent="0.25">
      <c r="A91" s="28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0</v>
      </c>
      <c r="E91" s="1"/>
      <c r="F91" s="5">
        <f t="shared" ref="F91:F95" si="92">IF(D$12=0,0,D91/D$12)</f>
        <v>0</v>
      </c>
      <c r="G91" s="1"/>
      <c r="H91" s="1">
        <f>SUM(OSRRefH22_18x_0)</f>
        <v>1196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-1196</v>
      </c>
      <c r="M91" s="1"/>
      <c r="N91" s="5">
        <f t="shared" ref="N91:N95" si="95">IF(H91=0,0,L91/H91)</f>
        <v>-1</v>
      </c>
      <c r="O91" s="14"/>
      <c r="P91" s="1">
        <f>SUM(OSRRefP22_18x_0)</f>
        <v>0</v>
      </c>
      <c r="Q91" s="1"/>
      <c r="R91" s="5">
        <f t="shared" ref="R91:R95" si="96">IF(P$12=0,0,P91/P$12)</f>
        <v>0</v>
      </c>
      <c r="S91" s="1"/>
      <c r="T91" s="1">
        <f>SUM(OSRRefT22_18x_0)</f>
        <v>4542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-4542</v>
      </c>
      <c r="Y91" s="1"/>
      <c r="Z91" s="5">
        <f t="shared" ref="Z91:Z95" si="99">IF(T91=0,0,X91/T91)</f>
        <v>-1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92"/>
        <v>0</v>
      </c>
      <c r="G92" s="2"/>
      <c r="H92" s="6">
        <v>1196</v>
      </c>
      <c r="I92" s="2"/>
      <c r="J92" s="7">
        <f t="shared" si="93"/>
        <v>0</v>
      </c>
      <c r="K92" s="2"/>
      <c r="L92" s="6">
        <f t="shared" si="94"/>
        <v>-1196</v>
      </c>
      <c r="M92" s="2"/>
      <c r="N92" s="7">
        <f t="shared" si="95"/>
        <v>-1</v>
      </c>
      <c r="O92" s="11"/>
      <c r="P92" s="6"/>
      <c r="Q92" s="2"/>
      <c r="R92" s="7">
        <f t="shared" si="96"/>
        <v>0</v>
      </c>
      <c r="S92" s="2"/>
      <c r="T92" s="6">
        <v>4542</v>
      </c>
      <c r="U92" s="2"/>
      <c r="V92" s="7">
        <f t="shared" si="97"/>
        <v>0</v>
      </c>
      <c r="W92" s="2"/>
      <c r="X92" s="6">
        <f t="shared" si="98"/>
        <v>-4542</v>
      </c>
      <c r="Y92" s="2"/>
      <c r="Z92" s="7">
        <f t="shared" si="99"/>
        <v>-1</v>
      </c>
    </row>
    <row r="93" spans="1:26" s="29" customFormat="1" outlineLevel="1" collapsed="1" x14ac:dyDescent="0.25">
      <c r="A93" s="28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7.8</v>
      </c>
      <c r="E93" s="1"/>
      <c r="F93" s="5">
        <f t="shared" si="92"/>
        <v>0</v>
      </c>
      <c r="G93" s="1"/>
      <c r="H93" s="1">
        <f>SUM(OSRRefH22_19x_0)</f>
        <v>625</v>
      </c>
      <c r="I93" s="1"/>
      <c r="J93" s="5">
        <f t="shared" si="93"/>
        <v>0</v>
      </c>
      <c r="K93" s="1"/>
      <c r="L93" s="1">
        <f t="shared" si="94"/>
        <v>-617.20000000000005</v>
      </c>
      <c r="M93" s="1"/>
      <c r="N93" s="5">
        <f t="shared" si="95"/>
        <v>-0.98752000000000006</v>
      </c>
      <c r="O93" s="14"/>
      <c r="P93" s="1">
        <f>SUM(OSRRefP22_19x_0)</f>
        <v>17.55</v>
      </c>
      <c r="Q93" s="1"/>
      <c r="R93" s="5">
        <f t="shared" si="96"/>
        <v>0</v>
      </c>
      <c r="S93" s="1"/>
      <c r="T93" s="1">
        <f>SUM(OSRRefT22_19x_0)</f>
        <v>1250</v>
      </c>
      <c r="U93" s="1"/>
      <c r="V93" s="5">
        <f t="shared" si="97"/>
        <v>0</v>
      </c>
      <c r="W93" s="1"/>
      <c r="X93" s="1">
        <f t="shared" si="98"/>
        <v>-1232.45</v>
      </c>
      <c r="Y93" s="1"/>
      <c r="Z93" s="5">
        <f t="shared" si="99"/>
        <v>-0.98596000000000006</v>
      </c>
    </row>
    <row r="94" spans="1:26" s="24" customFormat="1" hidden="1" outlineLevel="2" x14ac:dyDescent="0.25">
      <c r="A94" s="27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92"/>
        <v>0</v>
      </c>
      <c r="G94" s="2"/>
      <c r="H94" s="6">
        <v>625</v>
      </c>
      <c r="I94" s="2"/>
      <c r="J94" s="7">
        <f t="shared" si="93"/>
        <v>0</v>
      </c>
      <c r="K94" s="2"/>
      <c r="L94" s="6">
        <f t="shared" si="94"/>
        <v>-625</v>
      </c>
      <c r="M94" s="2"/>
      <c r="N94" s="7">
        <f t="shared" si="95"/>
        <v>-1</v>
      </c>
      <c r="O94" s="11"/>
      <c r="P94" s="6"/>
      <c r="Q94" s="2"/>
      <c r="R94" s="7">
        <f t="shared" si="96"/>
        <v>0</v>
      </c>
      <c r="S94" s="2"/>
      <c r="T94" s="6">
        <v>1250</v>
      </c>
      <c r="U94" s="2"/>
      <c r="V94" s="7">
        <f t="shared" si="97"/>
        <v>0</v>
      </c>
      <c r="W94" s="2"/>
      <c r="X94" s="6">
        <f t="shared" si="98"/>
        <v>-1250</v>
      </c>
      <c r="Y94" s="2"/>
      <c r="Z94" s="7">
        <f t="shared" si="99"/>
        <v>-1</v>
      </c>
    </row>
    <row r="95" spans="1:26" s="24" customFormat="1" hidden="1" outlineLevel="2" x14ac:dyDescent="0.25">
      <c r="A95" s="27"/>
      <c r="B95" s="11" t="str">
        <f>CONCATENATE("          ", "6294", " - ", "TRAVEL OPERATIONAL")</f>
        <v xml:space="preserve">          6294 - TRAVEL OPERATIONAL</v>
      </c>
      <c r="C95" s="11"/>
      <c r="D95" s="6">
        <v>7.8</v>
      </c>
      <c r="E95" s="2"/>
      <c r="F95" s="7">
        <f t="shared" si="92"/>
        <v>0</v>
      </c>
      <c r="G95" s="2"/>
      <c r="H95" s="6"/>
      <c r="I95" s="2"/>
      <c r="J95" s="7">
        <f t="shared" si="93"/>
        <v>0</v>
      </c>
      <c r="K95" s="2"/>
      <c r="L95" s="6">
        <f t="shared" si="94"/>
        <v>7.8</v>
      </c>
      <c r="M95" s="2"/>
      <c r="N95" s="7">
        <f t="shared" si="95"/>
        <v>0</v>
      </c>
      <c r="O95" s="11"/>
      <c r="P95" s="6">
        <v>17.55</v>
      </c>
      <c r="Q95" s="2"/>
      <c r="R95" s="7">
        <f t="shared" si="96"/>
        <v>0</v>
      </c>
      <c r="S95" s="2"/>
      <c r="T95" s="6"/>
      <c r="U95" s="2"/>
      <c r="V95" s="7">
        <f t="shared" si="97"/>
        <v>0</v>
      </c>
      <c r="W95" s="2"/>
      <c r="X95" s="6">
        <f t="shared" si="98"/>
        <v>17.55</v>
      </c>
      <c r="Y95" s="2"/>
      <c r="Z95" s="7">
        <f t="shared" si="99"/>
        <v>0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2" customFormat="1" collapsed="1" x14ac:dyDescent="0.25">
      <c r="A97" s="10"/>
      <c r="B97" s="25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3">
        <f t="shared" si="100"/>
        <v>0</v>
      </c>
      <c r="G98" s="2"/>
      <c r="H98" s="2">
        <v>0</v>
      </c>
      <c r="I98" s="2"/>
      <c r="J98" s="23">
        <f t="shared" si="101"/>
        <v>0</v>
      </c>
      <c r="K98" s="2"/>
      <c r="L98" s="2">
        <f t="shared" si="102"/>
        <v>0</v>
      </c>
      <c r="M98" s="2"/>
      <c r="N98" s="23">
        <f t="shared" si="103"/>
        <v>0</v>
      </c>
      <c r="O98" s="11"/>
      <c r="P98" s="2">
        <f t="shared" ref="P98:P100" si="109">0</f>
        <v>0</v>
      </c>
      <c r="Q98" s="2"/>
      <c r="R98" s="23">
        <f t="shared" si="104"/>
        <v>0</v>
      </c>
      <c r="S98" s="2"/>
      <c r="T98" s="2">
        <v>0</v>
      </c>
      <c r="U98" s="2"/>
      <c r="V98" s="23">
        <f t="shared" si="105"/>
        <v>0</v>
      </c>
      <c r="W98" s="2"/>
      <c r="X98" s="2">
        <f t="shared" si="106"/>
        <v>0</v>
      </c>
      <c r="Y98" s="2"/>
      <c r="Z98" s="23">
        <f t="shared" si="107"/>
        <v>0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3">
        <f t="shared" si="100"/>
        <v>0</v>
      </c>
      <c r="G99" s="2"/>
      <c r="H99" s="2">
        <v>0</v>
      </c>
      <c r="I99" s="2"/>
      <c r="J99" s="23">
        <f t="shared" si="101"/>
        <v>0</v>
      </c>
      <c r="K99" s="2"/>
      <c r="L99" s="2">
        <f t="shared" si="102"/>
        <v>0</v>
      </c>
      <c r="M99" s="2"/>
      <c r="N99" s="23">
        <f t="shared" si="103"/>
        <v>0</v>
      </c>
      <c r="O99" s="11"/>
      <c r="P99" s="2">
        <f t="shared" si="109"/>
        <v>0</v>
      </c>
      <c r="Q99" s="2"/>
      <c r="R99" s="23">
        <f t="shared" si="104"/>
        <v>0</v>
      </c>
      <c r="S99" s="2"/>
      <c r="T99" s="2">
        <v>0</v>
      </c>
      <c r="U99" s="2"/>
      <c r="V99" s="23">
        <f t="shared" si="105"/>
        <v>0</v>
      </c>
      <c r="W99" s="2"/>
      <c r="X99" s="2">
        <f t="shared" si="106"/>
        <v>0</v>
      </c>
      <c r="Y99" s="2"/>
      <c r="Z99" s="23">
        <f t="shared" si="107"/>
        <v>0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3">
        <f t="shared" si="100"/>
        <v>0</v>
      </c>
      <c r="G100" s="2"/>
      <c r="H100" s="2">
        <v>0</v>
      </c>
      <c r="I100" s="2"/>
      <c r="J100" s="23">
        <f t="shared" si="101"/>
        <v>0</v>
      </c>
      <c r="K100" s="2"/>
      <c r="L100" s="2">
        <f t="shared" si="102"/>
        <v>0</v>
      </c>
      <c r="M100" s="2"/>
      <c r="N100" s="23">
        <f t="shared" si="103"/>
        <v>0</v>
      </c>
      <c r="O100" s="11"/>
      <c r="P100" s="2">
        <f t="shared" si="109"/>
        <v>0</v>
      </c>
      <c r="Q100" s="2"/>
      <c r="R100" s="23">
        <f t="shared" si="104"/>
        <v>0</v>
      </c>
      <c r="S100" s="2"/>
      <c r="T100" s="2">
        <v>0</v>
      </c>
      <c r="U100" s="2"/>
      <c r="V100" s="23">
        <f t="shared" si="105"/>
        <v>0</v>
      </c>
      <c r="W100" s="2"/>
      <c r="X100" s="2">
        <f t="shared" si="106"/>
        <v>0</v>
      </c>
      <c r="Y100" s="2"/>
      <c r="Z100" s="23">
        <f t="shared" si="107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2" customFormat="1" x14ac:dyDescent="0.25">
      <c r="A102" s="10"/>
      <c r="B102" s="26" t="s">
        <v>3</v>
      </c>
      <c r="C102" s="26"/>
      <c r="D102" s="21">
        <f>+D17-D19+D97</f>
        <v>-219113.02000000005</v>
      </c>
      <c r="E102" s="13"/>
      <c r="F102" s="20">
        <f>IF(D$12=0,0,D102/D$12)</f>
        <v>0</v>
      </c>
      <c r="G102" s="13"/>
      <c r="H102" s="21">
        <f>+H17-H19+H97</f>
        <v>-230112.25086153846</v>
      </c>
      <c r="I102" s="13"/>
      <c r="J102" s="20">
        <f>IF(H$12=0,0,H102/H$12)</f>
        <v>0</v>
      </c>
      <c r="K102" s="16"/>
      <c r="L102" s="21">
        <f>+D102-H102</f>
        <v>10999.23086153841</v>
      </c>
      <c r="M102" s="16"/>
      <c r="N102" s="20">
        <f>IF(H102=0,0,L102/H102)</f>
        <v>-4.7799414504692279E-2</v>
      </c>
      <c r="O102" s="25"/>
      <c r="P102" s="21">
        <f>+P17-P19+P97</f>
        <v>-453816.25999999989</v>
      </c>
      <c r="Q102" s="13"/>
      <c r="R102" s="20">
        <f>IF(P$12=0,0,P102/P$12)</f>
        <v>0</v>
      </c>
      <c r="S102" s="13"/>
      <c r="T102" s="21">
        <f>+T17-T19+T97</f>
        <v>-551822.78480384627</v>
      </c>
      <c r="U102" s="13"/>
      <c r="V102" s="20">
        <f>IF(T$12=0,0,T102/T$12)</f>
        <v>0</v>
      </c>
      <c r="W102" s="16"/>
      <c r="X102" s="21">
        <f>+P102-T102</f>
        <v>98006.524803846376</v>
      </c>
      <c r="Y102" s="16"/>
      <c r="Z102" s="20">
        <f>IF(T102=0,0,X102/T102)</f>
        <v>-0.17760507087195443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2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2" customFormat="1" ht="15.75" thickBot="1" x14ac:dyDescent="0.3">
      <c r="A106" s="10"/>
      <c r="B106" s="26" t="s">
        <v>4</v>
      </c>
      <c r="C106" s="26"/>
      <c r="D106" s="33">
        <f>+D102-D104</f>
        <v>-219113.02000000005</v>
      </c>
      <c r="E106" s="13"/>
      <c r="F106" s="31">
        <f>IF(D$12=0,0,D106/D$12)</f>
        <v>0</v>
      </c>
      <c r="G106" s="13"/>
      <c r="H106" s="33">
        <f>+H102-H104</f>
        <v>-230112.25086153846</v>
      </c>
      <c r="I106" s="13"/>
      <c r="J106" s="31">
        <f>IF(H$12=0,0,H106/H$12)</f>
        <v>0</v>
      </c>
      <c r="K106" s="16"/>
      <c r="L106" s="33">
        <f>D106-H106</f>
        <v>10999.23086153841</v>
      </c>
      <c r="M106" s="16"/>
      <c r="N106" s="31">
        <f>IF(H106=0,0,L106/H106)</f>
        <v>-4.7799414504692279E-2</v>
      </c>
      <c r="O106" s="25"/>
      <c r="P106" s="33">
        <f>+P102-P104</f>
        <v>-453816.25999999989</v>
      </c>
      <c r="Q106" s="13"/>
      <c r="R106" s="31">
        <f>IF(P$12=0,0,P106/P$12)</f>
        <v>0</v>
      </c>
      <c r="S106" s="13"/>
      <c r="T106" s="33">
        <f>+T102-T104</f>
        <v>-551822.78480384627</v>
      </c>
      <c r="U106" s="13"/>
      <c r="V106" s="31">
        <f>IF(T$12=0,0,T106/T$12)</f>
        <v>0</v>
      </c>
      <c r="W106" s="16"/>
      <c r="X106" s="33">
        <f>P106-T106</f>
        <v>98006.524803846376</v>
      </c>
      <c r="Y106" s="16"/>
      <c r="Z106" s="31">
        <f>IF(T106=0,0,X106/T106)</f>
        <v>-0.17760507087195443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2" customFormat="1" ht="15.75" thickBot="1" x14ac:dyDescent="0.3">
      <c r="A109" s="10"/>
      <c r="B109" s="26" t="s">
        <v>5</v>
      </c>
      <c r="C109" s="26"/>
      <c r="D109" s="32">
        <f>SUM(D106:D108)</f>
        <v>-219113.02000000005</v>
      </c>
      <c r="E109" s="13"/>
      <c r="F109" s="35">
        <f>IF(D$12=0,0,D109/D$12)</f>
        <v>0</v>
      </c>
      <c r="G109" s="13"/>
      <c r="H109" s="32">
        <f>SUM(H106:H108)</f>
        <v>-230112.25086153846</v>
      </c>
      <c r="I109" s="13"/>
      <c r="J109" s="35">
        <f>IF(H$12=0,0,H109/H$12)</f>
        <v>0</v>
      </c>
      <c r="K109" s="16"/>
      <c r="L109" s="32">
        <f>+D109-H109</f>
        <v>10999.23086153841</v>
      </c>
      <c r="M109" s="16"/>
      <c r="N109" s="35">
        <f>IF(H109=0,0,L109/H109)</f>
        <v>-4.7799414504692279E-2</v>
      </c>
      <c r="O109" s="25"/>
      <c r="P109" s="32">
        <f>SUM(P106:P108)</f>
        <v>-453816.25999999989</v>
      </c>
      <c r="Q109" s="13"/>
      <c r="R109" s="35">
        <f>IF(P$12=0,0,P109/P$12)</f>
        <v>0</v>
      </c>
      <c r="S109" s="13"/>
      <c r="T109" s="32">
        <f>SUM(T106:T108)</f>
        <v>-551822.78480384627</v>
      </c>
      <c r="U109" s="13"/>
      <c r="V109" s="35">
        <f>IF(T$12=0,0,T109/T$12)</f>
        <v>0</v>
      </c>
      <c r="W109" s="16"/>
      <c r="X109" s="32">
        <f>+P109-T109</f>
        <v>98006.524803846376</v>
      </c>
      <c r="Y109" s="16"/>
      <c r="Z109" s="35">
        <f>IF(T109=0,0,X109/T109)</f>
        <v>-0.17760507087195443</v>
      </c>
    </row>
    <row r="110" spans="1:26" ht="15.75" thickTop="1" x14ac:dyDescent="0.25">
      <c r="A110" s="9"/>
      <c r="C110" s="9"/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  <row r="111" spans="1:26" x14ac:dyDescent="0.25">
      <c r="A111" s="9"/>
      <c r="B111" s="59">
        <v>44113.688832210646</v>
      </c>
      <c r="D111" s="18"/>
      <c r="E111" s="18"/>
      <c r="G111" s="18"/>
      <c r="H111" s="18"/>
      <c r="I111" s="18"/>
      <c r="J111" s="43"/>
      <c r="K111" s="18"/>
      <c r="L111" s="18"/>
      <c r="M111" s="18"/>
      <c r="P111" s="18"/>
      <c r="Q111" s="18"/>
      <c r="R111" s="43"/>
      <c r="S111" s="18"/>
      <c r="T111" s="18"/>
      <c r="U111" s="18"/>
      <c r="V111" s="43"/>
      <c r="W111" s="18"/>
      <c r="X111" s="18"/>
    </row>
    <row r="112" spans="1:26" x14ac:dyDescent="0.25">
      <c r="A112" s="9"/>
      <c r="B112" s="62" t="s">
        <v>314</v>
      </c>
      <c r="D112" s="18"/>
      <c r="E112" s="18"/>
      <c r="G112" s="18"/>
      <c r="H112" s="18"/>
      <c r="I112" s="18"/>
      <c r="J112" s="43"/>
      <c r="K112" s="18"/>
      <c r="L112" s="18"/>
      <c r="M112" s="18"/>
      <c r="P112" s="18"/>
      <c r="Q112" s="18"/>
      <c r="R112" s="43"/>
      <c r="S112" s="18"/>
      <c r="T112" s="18"/>
      <c r="U112" s="18"/>
      <c r="V112" s="43"/>
      <c r="W112" s="18"/>
      <c r="X112" s="18"/>
    </row>
    <row r="113" spans="1:24" x14ac:dyDescent="0.25">
      <c r="A113" s="9"/>
      <c r="B113" s="63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","200", " - ", "Corporate Expense")</f>
        <v>Department 200 - Corporate Expense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46373.01</v>
      </c>
      <c r="E18" s="19"/>
      <c r="F18" s="30">
        <f t="shared" ref="F18:F27" si="0">IF(D$12=0,0,D18/D$12)</f>
        <v>0</v>
      </c>
      <c r="G18" s="19"/>
      <c r="H18" s="19">
        <f>SUM(OSRRefH22x_0)</f>
        <v>35137</v>
      </c>
      <c r="I18" s="19"/>
      <c r="J18" s="30">
        <f t="shared" ref="J18:J27" si="1">IF(H$12=0,0,H18/H$12)</f>
        <v>0</v>
      </c>
      <c r="K18" s="4"/>
      <c r="L18" s="19">
        <f t="shared" ref="L18:L27" si="2">+D18-H18</f>
        <v>11236.010000000002</v>
      </c>
      <c r="M18" s="4"/>
      <c r="N18" s="30">
        <f t="shared" ref="N18:N27" si="3">IF(H18=0,0,L18/H18)</f>
        <v>0.31977715798161488</v>
      </c>
      <c r="O18" s="10"/>
      <c r="P18" s="19">
        <f>SUM(OSRRefP22x_0)</f>
        <v>78329.87000000001</v>
      </c>
      <c r="Q18" s="19"/>
      <c r="R18" s="30">
        <f t="shared" ref="R18:R27" si="4">IF(P$12=0,0,P18/P$12)</f>
        <v>0</v>
      </c>
      <c r="S18" s="19"/>
      <c r="T18" s="19">
        <f>SUM(OSRRefT22x_0)</f>
        <v>97674</v>
      </c>
      <c r="U18" s="19"/>
      <c r="V18" s="30">
        <f t="shared" ref="V18:V27" si="5">IF(T$12=0,0,T18/T$12)</f>
        <v>0</v>
      </c>
      <c r="W18" s="4"/>
      <c r="X18" s="19">
        <f t="shared" ref="X18:X27" si="6">+P18-T18</f>
        <v>-19344.12999999999</v>
      </c>
      <c r="Y18" s="4"/>
      <c r="Z18" s="30">
        <f t="shared" ref="Z18:Z27" si="7">IF(T18=0,0,X18/T18)</f>
        <v>-0.19804789401478376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30426.25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-1573.75</v>
      </c>
      <c r="M19" s="1"/>
      <c r="N19" s="5">
        <f t="shared" si="3"/>
        <v>-4.9179687499999999E-2</v>
      </c>
      <c r="O19" s="14"/>
      <c r="P19" s="1">
        <f>SUM(OSRRefP22_0x_0)</f>
        <v>60675.340000000004</v>
      </c>
      <c r="Q19" s="1"/>
      <c r="R19" s="5">
        <f t="shared" si="4"/>
        <v>0</v>
      </c>
      <c r="S19" s="1"/>
      <c r="T19" s="1">
        <f>SUM(OSRRefT22_0x_0)</f>
        <v>64000</v>
      </c>
      <c r="U19" s="1"/>
      <c r="V19" s="5">
        <f t="shared" si="5"/>
        <v>0</v>
      </c>
      <c r="W19" s="1"/>
      <c r="X19" s="1">
        <f t="shared" si="6"/>
        <v>-3324.6599999999962</v>
      </c>
      <c r="Y19" s="1"/>
      <c r="Z19" s="5">
        <f t="shared" si="7"/>
        <v>-5.194781249999994E-2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30426.25</v>
      </c>
      <c r="E20" s="2"/>
      <c r="F20" s="7">
        <f t="shared" si="0"/>
        <v>0</v>
      </c>
      <c r="G20" s="2"/>
      <c r="H20" s="6">
        <v>32000</v>
      </c>
      <c r="I20" s="2"/>
      <c r="J20" s="7">
        <f t="shared" si="1"/>
        <v>0</v>
      </c>
      <c r="K20" s="2"/>
      <c r="L20" s="6">
        <f t="shared" si="2"/>
        <v>-1573.75</v>
      </c>
      <c r="M20" s="2"/>
      <c r="N20" s="7">
        <f t="shared" si="3"/>
        <v>-4.9179687499999999E-2</v>
      </c>
      <c r="O20" s="11"/>
      <c r="P20" s="6">
        <v>60675.340000000004</v>
      </c>
      <c r="Q20" s="2"/>
      <c r="R20" s="7">
        <f t="shared" si="4"/>
        <v>0</v>
      </c>
      <c r="S20" s="2"/>
      <c r="T20" s="6">
        <v>64000</v>
      </c>
      <c r="U20" s="2"/>
      <c r="V20" s="7">
        <f t="shared" si="5"/>
        <v>0</v>
      </c>
      <c r="W20" s="2"/>
      <c r="X20" s="6">
        <f t="shared" si="6"/>
        <v>-3324.6599999999962</v>
      </c>
      <c r="Y20" s="2"/>
      <c r="Z20" s="7">
        <f t="shared" si="7"/>
        <v>-5.194781249999994E-2</v>
      </c>
    </row>
    <row r="21" spans="1:26" s="29" customFormat="1" outlineLevel="1" collapsed="1" x14ac:dyDescent="0.25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-993</v>
      </c>
      <c r="M21" s="1"/>
      <c r="N21" s="5">
        <f t="shared" si="3"/>
        <v>-0.99299999999999999</v>
      </c>
      <c r="O21" s="14"/>
      <c r="P21" s="1">
        <f>SUM(OSRRefP22_1x_0)</f>
        <v>930.98</v>
      </c>
      <c r="Q21" s="1"/>
      <c r="R21" s="5">
        <f t="shared" si="4"/>
        <v>0</v>
      </c>
      <c r="S21" s="1"/>
      <c r="T21" s="1">
        <f>SUM(OSRRefT22_1x_0)</f>
        <v>16000</v>
      </c>
      <c r="U21" s="1"/>
      <c r="V21" s="5">
        <f t="shared" si="5"/>
        <v>0</v>
      </c>
      <c r="W21" s="1"/>
      <c r="X21" s="1">
        <f t="shared" si="6"/>
        <v>-15069.02</v>
      </c>
      <c r="Y21" s="1"/>
      <c r="Z21" s="5">
        <f t="shared" si="7"/>
        <v>-0.94181375000000001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7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-993</v>
      </c>
      <c r="M22" s="2"/>
      <c r="N22" s="7">
        <f t="shared" si="3"/>
        <v>-0.99299999999999999</v>
      </c>
      <c r="O22" s="11"/>
      <c r="P22" s="6">
        <v>930.98</v>
      </c>
      <c r="Q22" s="2"/>
      <c r="R22" s="7">
        <f t="shared" si="4"/>
        <v>0</v>
      </c>
      <c r="S22" s="2"/>
      <c r="T22" s="6">
        <v>16000</v>
      </c>
      <c r="U22" s="2"/>
      <c r="V22" s="7">
        <f t="shared" si="5"/>
        <v>0</v>
      </c>
      <c r="W22" s="2"/>
      <c r="X22" s="6">
        <f t="shared" si="6"/>
        <v>-15069.02</v>
      </c>
      <c r="Y22" s="2"/>
      <c r="Z22" s="7">
        <f t="shared" si="7"/>
        <v>-0.94181375000000001</v>
      </c>
    </row>
    <row r="23" spans="1:26" s="29" customFormat="1" outlineLevel="1" collapsed="1" x14ac:dyDescent="0.25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4354.01</v>
      </c>
      <c r="E23" s="1"/>
      <c r="F23" s="5">
        <f t="shared" si="0"/>
        <v>0</v>
      </c>
      <c r="G23" s="1"/>
      <c r="H23" s="1">
        <f>SUM(OSRRefH22_2x_0)</f>
        <v>2137</v>
      </c>
      <c r="I23" s="1"/>
      <c r="J23" s="5">
        <f t="shared" si="1"/>
        <v>0</v>
      </c>
      <c r="K23" s="1"/>
      <c r="L23" s="1">
        <f t="shared" si="2"/>
        <v>2217.0100000000002</v>
      </c>
      <c r="M23" s="1"/>
      <c r="N23" s="5">
        <f t="shared" si="3"/>
        <v>1.0374403369209173</v>
      </c>
      <c r="O23" s="14"/>
      <c r="P23" s="1">
        <f>SUM(OSRRefP22_2x_0)</f>
        <v>5137.8</v>
      </c>
      <c r="Q23" s="1"/>
      <c r="R23" s="5">
        <f t="shared" si="4"/>
        <v>0</v>
      </c>
      <c r="S23" s="1"/>
      <c r="T23" s="1">
        <f>SUM(OSRRefT22_2x_0)</f>
        <v>4174</v>
      </c>
      <c r="U23" s="1"/>
      <c r="V23" s="5">
        <f t="shared" si="5"/>
        <v>0</v>
      </c>
      <c r="W23" s="1"/>
      <c r="X23" s="1">
        <f t="shared" si="6"/>
        <v>963.80000000000018</v>
      </c>
      <c r="Y23" s="1"/>
      <c r="Z23" s="5">
        <f t="shared" si="7"/>
        <v>0.2309056061332056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6">
        <v>4354.01</v>
      </c>
      <c r="E24" s="2"/>
      <c r="F24" s="7">
        <f t="shared" si="0"/>
        <v>0</v>
      </c>
      <c r="G24" s="2"/>
      <c r="H24" s="6">
        <v>2137</v>
      </c>
      <c r="I24" s="2"/>
      <c r="J24" s="7">
        <f t="shared" si="1"/>
        <v>0</v>
      </c>
      <c r="K24" s="2"/>
      <c r="L24" s="6">
        <f t="shared" si="2"/>
        <v>2217.0100000000002</v>
      </c>
      <c r="M24" s="2"/>
      <c r="N24" s="7">
        <f t="shared" si="3"/>
        <v>1.0374403369209173</v>
      </c>
      <c r="O24" s="11"/>
      <c r="P24" s="6">
        <v>5137.8</v>
      </c>
      <c r="Q24" s="2"/>
      <c r="R24" s="7">
        <f t="shared" si="4"/>
        <v>0</v>
      </c>
      <c r="S24" s="2"/>
      <c r="T24" s="6">
        <v>4174</v>
      </c>
      <c r="U24" s="2"/>
      <c r="V24" s="7">
        <f t="shared" si="5"/>
        <v>0</v>
      </c>
      <c r="W24" s="2"/>
      <c r="X24" s="6">
        <f t="shared" si="6"/>
        <v>963.80000000000018</v>
      </c>
      <c r="Y24" s="2"/>
      <c r="Z24" s="7">
        <f t="shared" si="7"/>
        <v>0.2309056061332056</v>
      </c>
    </row>
    <row r="25" spans="1:26" s="29" customFormat="1" outlineLevel="1" collapsed="1" x14ac:dyDescent="0.25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11585.75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11585.75</v>
      </c>
      <c r="M25" s="1"/>
      <c r="N25" s="5">
        <f t="shared" si="3"/>
        <v>0</v>
      </c>
      <c r="O25" s="14"/>
      <c r="P25" s="1">
        <f>SUM(OSRRefP22_3x_0)</f>
        <v>11585.75</v>
      </c>
      <c r="Q25" s="1"/>
      <c r="R25" s="5">
        <f t="shared" si="4"/>
        <v>0</v>
      </c>
      <c r="S25" s="1"/>
      <c r="T25" s="1">
        <f>SUM(OSRRefT22_3x_0)</f>
        <v>13500</v>
      </c>
      <c r="U25" s="1"/>
      <c r="V25" s="5">
        <f t="shared" si="5"/>
        <v>0</v>
      </c>
      <c r="W25" s="1"/>
      <c r="X25" s="1">
        <f t="shared" si="6"/>
        <v>-1914.25</v>
      </c>
      <c r="Y25" s="1"/>
      <c r="Z25" s="5">
        <f t="shared" si="7"/>
        <v>-0.14179629629629631</v>
      </c>
    </row>
    <row r="26" spans="1:26" s="24" customFormat="1" hidden="1" outlineLevel="2" x14ac:dyDescent="0.25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11585.75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11585.75</v>
      </c>
      <c r="M26" s="2"/>
      <c r="N26" s="7">
        <f t="shared" si="3"/>
        <v>0</v>
      </c>
      <c r="O26" s="11"/>
      <c r="P26" s="6">
        <v>11585.75</v>
      </c>
      <c r="Q26" s="2"/>
      <c r="R26" s="7">
        <f t="shared" si="4"/>
        <v>0</v>
      </c>
      <c r="S26" s="2"/>
      <c r="T26" s="6">
        <v>13500</v>
      </c>
      <c r="U26" s="2"/>
      <c r="V26" s="7">
        <f t="shared" si="5"/>
        <v>0</v>
      </c>
      <c r="W26" s="2"/>
      <c r="X26" s="6">
        <f t="shared" si="6"/>
        <v>-1914.25</v>
      </c>
      <c r="Y26" s="2"/>
      <c r="Z26" s="7">
        <f t="shared" si="7"/>
        <v>-0.14179629629629631</v>
      </c>
    </row>
    <row r="27" spans="1:26" s="24" customFormat="1" hidden="1" outlineLevel="2" x14ac:dyDescent="0.25">
      <c r="A27" s="27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61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2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x14ac:dyDescent="0.25">
      <c r="A31" s="10"/>
      <c r="B31" s="26" t="s">
        <v>3</v>
      </c>
      <c r="C31" s="26"/>
      <c r="D31" s="21">
        <f>+D16-D18+D29</f>
        <v>-46373.01</v>
      </c>
      <c r="E31" s="13"/>
      <c r="F31" s="20">
        <f>IF(D$12=0,0,D31/D$12)</f>
        <v>0</v>
      </c>
      <c r="G31" s="13"/>
      <c r="H31" s="21">
        <f>+H16-H18+H29</f>
        <v>-35137</v>
      </c>
      <c r="I31" s="13"/>
      <c r="J31" s="20">
        <f>IF(H$12=0,0,H31/H$12)</f>
        <v>0</v>
      </c>
      <c r="K31" s="16"/>
      <c r="L31" s="21">
        <f>+D31-H31</f>
        <v>-11236.010000000002</v>
      </c>
      <c r="M31" s="16"/>
      <c r="N31" s="20">
        <f>IF(H31=0,0,L31/H31)</f>
        <v>0.31977715798161488</v>
      </c>
      <c r="O31" s="25"/>
      <c r="P31" s="21">
        <f>+P16-P18+P29</f>
        <v>-78329.87000000001</v>
      </c>
      <c r="Q31" s="13"/>
      <c r="R31" s="20">
        <f>IF(P$12=0,0,P31/P$12)</f>
        <v>0</v>
      </c>
      <c r="S31" s="13"/>
      <c r="T31" s="21">
        <f>+T16-T18+T29</f>
        <v>-97674</v>
      </c>
      <c r="U31" s="13"/>
      <c r="V31" s="20">
        <f>IF(T$12=0,0,T31/T$12)</f>
        <v>0</v>
      </c>
      <c r="W31" s="16"/>
      <c r="X31" s="21">
        <f>+P31-T31</f>
        <v>19344.12999999999</v>
      </c>
      <c r="Y31" s="16"/>
      <c r="Z31" s="20">
        <f>IF(T31=0,0,X31/T31)</f>
        <v>-0.19804789401478376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2" customFormat="1" ht="15.75" thickBot="1" x14ac:dyDescent="0.3">
      <c r="A35" s="10"/>
      <c r="B35" s="26" t="s">
        <v>4</v>
      </c>
      <c r="C35" s="26"/>
      <c r="D35" s="33">
        <f>+D31-D33</f>
        <v>-46373.01</v>
      </c>
      <c r="E35" s="13"/>
      <c r="F35" s="31">
        <f>IF(D$12=0,0,D35/D$12)</f>
        <v>0</v>
      </c>
      <c r="G35" s="13"/>
      <c r="H35" s="33">
        <f>+H31-H33</f>
        <v>-35137</v>
      </c>
      <c r="I35" s="13"/>
      <c r="J35" s="31">
        <f>IF(H$12=0,0,H35/H$12)</f>
        <v>0</v>
      </c>
      <c r="K35" s="16"/>
      <c r="L35" s="33">
        <f>D35-H35</f>
        <v>-11236.010000000002</v>
      </c>
      <c r="M35" s="16"/>
      <c r="N35" s="31">
        <f>IF(H35=0,0,L35/H35)</f>
        <v>0.31977715798161488</v>
      </c>
      <c r="O35" s="25"/>
      <c r="P35" s="33">
        <f>+P31-P33</f>
        <v>-78329.87000000001</v>
      </c>
      <c r="Q35" s="13"/>
      <c r="R35" s="31">
        <f>IF(P$12=0,0,P35/P$12)</f>
        <v>0</v>
      </c>
      <c r="S35" s="13"/>
      <c r="T35" s="33">
        <f>+T31-T33</f>
        <v>-97674</v>
      </c>
      <c r="U35" s="13"/>
      <c r="V35" s="31">
        <f>IF(T$12=0,0,T35/T$12)</f>
        <v>0</v>
      </c>
      <c r="W35" s="16"/>
      <c r="X35" s="33">
        <f>P35-T35</f>
        <v>19344.12999999999</v>
      </c>
      <c r="Y35" s="16"/>
      <c r="Z35" s="31">
        <f>IF(T35=0,0,X35/T35)</f>
        <v>-0.19804789401478376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2" customFormat="1" ht="15.75" thickBot="1" x14ac:dyDescent="0.3">
      <c r="A38" s="10"/>
      <c r="B38" s="26" t="s">
        <v>5</v>
      </c>
      <c r="C38" s="26"/>
      <c r="D38" s="32">
        <f>SUM(D35:D37)</f>
        <v>-46373.01</v>
      </c>
      <c r="E38" s="13"/>
      <c r="F38" s="35">
        <f>IF(D$12=0,0,D38/D$12)</f>
        <v>0</v>
      </c>
      <c r="G38" s="13"/>
      <c r="H38" s="32">
        <f>SUM(H35:H37)</f>
        <v>-35137</v>
      </c>
      <c r="I38" s="13"/>
      <c r="J38" s="35">
        <f>IF(H$12=0,0,H38/H$12)</f>
        <v>0</v>
      </c>
      <c r="K38" s="16"/>
      <c r="L38" s="32">
        <f>+D38-H38</f>
        <v>-11236.010000000002</v>
      </c>
      <c r="M38" s="16"/>
      <c r="N38" s="35">
        <f>IF(H38=0,0,L38/H38)</f>
        <v>0.31977715798161488</v>
      </c>
      <c r="O38" s="25"/>
      <c r="P38" s="32">
        <f>SUM(P35:P37)</f>
        <v>-78329.87000000001</v>
      </c>
      <c r="Q38" s="13"/>
      <c r="R38" s="35">
        <f>IF(P$12=0,0,P38/P$12)</f>
        <v>0</v>
      </c>
      <c r="S38" s="13"/>
      <c r="T38" s="32">
        <f>SUM(T35:T37)</f>
        <v>-97674</v>
      </c>
      <c r="U38" s="13"/>
      <c r="V38" s="35">
        <f>IF(T$12=0,0,T38/T$12)</f>
        <v>0</v>
      </c>
      <c r="W38" s="16"/>
      <c r="X38" s="32">
        <f>+P38-T38</f>
        <v>19344.12999999999</v>
      </c>
      <c r="Y38" s="16"/>
      <c r="Z38" s="35">
        <f>IF(T38=0,0,X38/T38)</f>
        <v>-0.19804789401478376</v>
      </c>
    </row>
    <row r="39" spans="1:26" ht="15.75" thickTop="1" x14ac:dyDescent="0.25">
      <c r="A39" s="9"/>
      <c r="C39" s="9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9">
        <v>44113.689182870374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2" t="s">
        <v>314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3"/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","201", " - ", "General Manager")</f>
        <v>Department 201 - General Manager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/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5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31265.519999999997</v>
      </c>
      <c r="E19" s="19"/>
      <c r="F19" s="30">
        <f t="shared" ref="F19:F29" si="4">IF(D$12=0,0,D19/D$12)</f>
        <v>0</v>
      </c>
      <c r="G19" s="19"/>
      <c r="H19" s="19">
        <f>SUM(OSRRefH22x_0)</f>
        <v>33751.532307692272</v>
      </c>
      <c r="I19" s="19"/>
      <c r="J19" s="30">
        <f t="shared" ref="J19:J29" si="5">IF(H$12=0,0,H19/H$12)</f>
        <v>0</v>
      </c>
      <c r="K19" s="4"/>
      <c r="L19" s="19">
        <f t="shared" ref="L19:L29" si="6">+D19-H19</f>
        <v>-2486.0123076922755</v>
      </c>
      <c r="M19" s="4"/>
      <c r="N19" s="30">
        <f t="shared" ref="N19:N29" si="7">IF(H19=0,0,L19/H19)</f>
        <v>-7.3656279810611486E-2</v>
      </c>
      <c r="O19" s="10"/>
      <c r="P19" s="19">
        <f>SUM(OSRRefP22x_0)</f>
        <v>66926.27</v>
      </c>
      <c r="Q19" s="19"/>
      <c r="R19" s="30">
        <f t="shared" ref="R19:R29" si="8">IF(P$12=0,0,P19/P$12)</f>
        <v>0</v>
      </c>
      <c r="S19" s="19"/>
      <c r="T19" s="19">
        <f>SUM(OSRRefT22x_0)</f>
        <v>96235.697692307629</v>
      </c>
      <c r="U19" s="19"/>
      <c r="V19" s="30">
        <f t="shared" ref="V19:V29" si="9">IF(T$12=0,0,T19/T$12)</f>
        <v>0</v>
      </c>
      <c r="W19" s="4"/>
      <c r="X19" s="19">
        <f t="shared" ref="X19:X29" si="10">+P19-T19</f>
        <v>-29309.427692307625</v>
      </c>
      <c r="Y19" s="4"/>
      <c r="Z19" s="30">
        <f t="shared" ref="Z19:Z29" si="11">IF(T19=0,0,X19/T19)</f>
        <v>-0.30455879050223172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10238.019999999999</v>
      </c>
      <c r="E20" s="1"/>
      <c r="F20" s="5">
        <f t="shared" si="4"/>
        <v>0</v>
      </c>
      <c r="G20" s="1"/>
      <c r="H20" s="1">
        <f>SUM(OSRRefH22_0x_0)</f>
        <v>8377.8400000000038</v>
      </c>
      <c r="I20" s="1"/>
      <c r="J20" s="5">
        <f t="shared" si="5"/>
        <v>0</v>
      </c>
      <c r="K20" s="1"/>
      <c r="L20" s="1">
        <f t="shared" si="6"/>
        <v>1860.1799999999948</v>
      </c>
      <c r="M20" s="1"/>
      <c r="N20" s="5">
        <f t="shared" si="7"/>
        <v>0.22203575145860913</v>
      </c>
      <c r="O20" s="14"/>
      <c r="P20" s="1">
        <f>SUM(OSRRefP22_0x_0)</f>
        <v>21376.379999999997</v>
      </c>
      <c r="Q20" s="1"/>
      <c r="R20" s="5">
        <f t="shared" si="8"/>
        <v>0</v>
      </c>
      <c r="S20" s="1"/>
      <c r="T20" s="1">
        <f>SUM(OSRRefT22_0x_0)</f>
        <v>17921.390000000003</v>
      </c>
      <c r="U20" s="1"/>
      <c r="V20" s="5">
        <f t="shared" si="9"/>
        <v>0</v>
      </c>
      <c r="W20" s="1"/>
      <c r="X20" s="1">
        <f t="shared" si="10"/>
        <v>3454.9899999999943</v>
      </c>
      <c r="Y20" s="1"/>
      <c r="Z20" s="5">
        <f t="shared" si="11"/>
        <v>0.19278582743860792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1447.18</v>
      </c>
      <c r="E21" s="2"/>
      <c r="F21" s="7">
        <f t="shared" si="4"/>
        <v>0</v>
      </c>
      <c r="G21" s="2"/>
      <c r="H21" s="6">
        <v>1436.4092307692301</v>
      </c>
      <c r="I21" s="2"/>
      <c r="J21" s="7">
        <f t="shared" si="5"/>
        <v>0</v>
      </c>
      <c r="K21" s="2"/>
      <c r="L21" s="6">
        <f t="shared" si="6"/>
        <v>10.770769230769929</v>
      </c>
      <c r="M21" s="2"/>
      <c r="N21" s="7">
        <f t="shared" si="7"/>
        <v>7.4983987850049767E-3</v>
      </c>
      <c r="O21" s="11"/>
      <c r="P21" s="6">
        <v>2895.1</v>
      </c>
      <c r="Q21" s="2"/>
      <c r="R21" s="7">
        <f t="shared" si="8"/>
        <v>0</v>
      </c>
      <c r="S21" s="2"/>
      <c r="T21" s="6">
        <v>3231.92076923077</v>
      </c>
      <c r="U21" s="2"/>
      <c r="V21" s="7">
        <f t="shared" si="9"/>
        <v>0</v>
      </c>
      <c r="W21" s="2"/>
      <c r="X21" s="6">
        <f t="shared" si="10"/>
        <v>-336.82076923077011</v>
      </c>
      <c r="Y21" s="2"/>
      <c r="Z21" s="7">
        <f t="shared" si="11"/>
        <v>-0.10421690173764281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62.43</v>
      </c>
      <c r="E22" s="2"/>
      <c r="F22" s="7">
        <f t="shared" si="4"/>
        <v>0</v>
      </c>
      <c r="G22" s="2"/>
      <c r="H22" s="6">
        <v>61.938461538461596</v>
      </c>
      <c r="I22" s="2"/>
      <c r="J22" s="7">
        <f t="shared" si="5"/>
        <v>0</v>
      </c>
      <c r="K22" s="2"/>
      <c r="L22" s="6">
        <f t="shared" si="6"/>
        <v>0.49153846153840419</v>
      </c>
      <c r="M22" s="2"/>
      <c r="N22" s="7">
        <f t="shared" si="7"/>
        <v>7.9359165424729861E-3</v>
      </c>
      <c r="O22" s="11"/>
      <c r="P22" s="6">
        <v>124.89</v>
      </c>
      <c r="Q22" s="2"/>
      <c r="R22" s="7">
        <f t="shared" si="8"/>
        <v>0</v>
      </c>
      <c r="S22" s="2"/>
      <c r="T22" s="6">
        <v>139.36153846153852</v>
      </c>
      <c r="U22" s="2"/>
      <c r="V22" s="7">
        <f t="shared" si="9"/>
        <v>0</v>
      </c>
      <c r="W22" s="2"/>
      <c r="X22" s="6">
        <f t="shared" si="10"/>
        <v>-14.471538461538515</v>
      </c>
      <c r="Y22" s="2"/>
      <c r="Z22" s="7">
        <f t="shared" si="11"/>
        <v>-0.10384169564497467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4070.76</v>
      </c>
      <c r="E23" s="2"/>
      <c r="F23" s="7">
        <f t="shared" si="4"/>
        <v>0</v>
      </c>
      <c r="G23" s="2"/>
      <c r="H23" s="6">
        <v>3365</v>
      </c>
      <c r="I23" s="2"/>
      <c r="J23" s="7">
        <f t="shared" si="5"/>
        <v>0</v>
      </c>
      <c r="K23" s="2"/>
      <c r="L23" s="6">
        <f t="shared" si="6"/>
        <v>705.76000000000022</v>
      </c>
      <c r="M23" s="2"/>
      <c r="N23" s="7">
        <f t="shared" si="7"/>
        <v>0.20973551263001491</v>
      </c>
      <c r="O23" s="11"/>
      <c r="P23" s="6">
        <v>8036.2</v>
      </c>
      <c r="Q23" s="2"/>
      <c r="R23" s="7">
        <f t="shared" si="8"/>
        <v>0</v>
      </c>
      <c r="S23" s="2"/>
      <c r="T23" s="6">
        <v>6730</v>
      </c>
      <c r="U23" s="2"/>
      <c r="V23" s="7">
        <f t="shared" si="9"/>
        <v>0</v>
      </c>
      <c r="W23" s="2"/>
      <c r="X23" s="6">
        <f t="shared" si="10"/>
        <v>1306.1999999999998</v>
      </c>
      <c r="Y23" s="2"/>
      <c r="Z23" s="7">
        <f t="shared" si="11"/>
        <v>0.19408618127786029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49.19</v>
      </c>
      <c r="E24" s="2"/>
      <c r="F24" s="7">
        <f t="shared" si="4"/>
        <v>0</v>
      </c>
      <c r="G24" s="2"/>
      <c r="H24" s="6">
        <v>48.8</v>
      </c>
      <c r="I24" s="2"/>
      <c r="J24" s="7">
        <f t="shared" si="5"/>
        <v>0</v>
      </c>
      <c r="K24" s="2"/>
      <c r="L24" s="6">
        <f t="shared" si="6"/>
        <v>0.39000000000000057</v>
      </c>
      <c r="M24" s="2"/>
      <c r="N24" s="7">
        <f t="shared" si="7"/>
        <v>7.9918032786885362E-3</v>
      </c>
      <c r="O24" s="11"/>
      <c r="P24" s="6">
        <v>98.4</v>
      </c>
      <c r="Q24" s="2"/>
      <c r="R24" s="7">
        <f t="shared" si="8"/>
        <v>0</v>
      </c>
      <c r="S24" s="2"/>
      <c r="T24" s="6">
        <v>109.8</v>
      </c>
      <c r="U24" s="2"/>
      <c r="V24" s="7">
        <f t="shared" si="9"/>
        <v>0</v>
      </c>
      <c r="W24" s="2"/>
      <c r="X24" s="6">
        <f t="shared" si="10"/>
        <v>-11.399999999999991</v>
      </c>
      <c r="Y24" s="2"/>
      <c r="Z24" s="7">
        <f t="shared" si="11"/>
        <v>-0.10382513661202178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2049.0300000000002</v>
      </c>
      <c r="E25" s="2"/>
      <c r="F25" s="7">
        <f t="shared" si="4"/>
        <v>0</v>
      </c>
      <c r="G25" s="2"/>
      <c r="H25" s="6">
        <v>1614.1538461538501</v>
      </c>
      <c r="I25" s="2"/>
      <c r="J25" s="7">
        <f t="shared" si="5"/>
        <v>0</v>
      </c>
      <c r="K25" s="2"/>
      <c r="L25" s="6">
        <f t="shared" si="6"/>
        <v>434.87615384615015</v>
      </c>
      <c r="M25" s="2"/>
      <c r="N25" s="7">
        <f t="shared" si="7"/>
        <v>0.26941431566907825</v>
      </c>
      <c r="O25" s="11"/>
      <c r="P25" s="6">
        <v>5122.58</v>
      </c>
      <c r="Q25" s="2"/>
      <c r="R25" s="7">
        <f t="shared" si="8"/>
        <v>0</v>
      </c>
      <c r="S25" s="2"/>
      <c r="T25" s="6">
        <v>3631.8461538461597</v>
      </c>
      <c r="U25" s="2"/>
      <c r="V25" s="7">
        <f t="shared" si="9"/>
        <v>0</v>
      </c>
      <c r="W25" s="2"/>
      <c r="X25" s="6">
        <f t="shared" si="10"/>
        <v>1490.7338461538402</v>
      </c>
      <c r="Y25" s="2"/>
      <c r="Z25" s="7">
        <f t="shared" si="11"/>
        <v>0.41046172745371906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1658.98</v>
      </c>
      <c r="E27" s="2"/>
      <c r="F27" s="7">
        <f t="shared" si="4"/>
        <v>0</v>
      </c>
      <c r="G27" s="2"/>
      <c r="H27" s="6">
        <v>938.46153846153913</v>
      </c>
      <c r="I27" s="2"/>
      <c r="J27" s="7">
        <f t="shared" si="5"/>
        <v>0</v>
      </c>
      <c r="K27" s="2"/>
      <c r="L27" s="6">
        <f t="shared" si="6"/>
        <v>720.51846153846088</v>
      </c>
      <c r="M27" s="2"/>
      <c r="N27" s="7">
        <f t="shared" si="7"/>
        <v>0.76776557377049059</v>
      </c>
      <c r="O27" s="11"/>
      <c r="P27" s="6">
        <v>3317.96</v>
      </c>
      <c r="Q27" s="2"/>
      <c r="R27" s="7">
        <f t="shared" si="8"/>
        <v>0</v>
      </c>
      <c r="S27" s="2"/>
      <c r="T27" s="6">
        <v>2111.5384615384587</v>
      </c>
      <c r="U27" s="2"/>
      <c r="V27" s="7">
        <f t="shared" si="9"/>
        <v>0</v>
      </c>
      <c r="W27" s="2"/>
      <c r="X27" s="6">
        <f t="shared" si="10"/>
        <v>1206.4215384615413</v>
      </c>
      <c r="Y27" s="2"/>
      <c r="Z27" s="7">
        <f t="shared" si="11"/>
        <v>0.57134717668488377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856.8</v>
      </c>
      <c r="E28" s="2"/>
      <c r="F28" s="7">
        <f t="shared" si="4"/>
        <v>0</v>
      </c>
      <c r="G28" s="2"/>
      <c r="H28" s="6">
        <v>563.07692307692298</v>
      </c>
      <c r="I28" s="2"/>
      <c r="J28" s="7">
        <f t="shared" si="5"/>
        <v>0</v>
      </c>
      <c r="K28" s="2"/>
      <c r="L28" s="6">
        <f t="shared" si="6"/>
        <v>293.72307692307697</v>
      </c>
      <c r="M28" s="2"/>
      <c r="N28" s="7">
        <f t="shared" si="7"/>
        <v>0.5216393442622953</v>
      </c>
      <c r="O28" s="11"/>
      <c r="P28" s="6">
        <v>1713.6</v>
      </c>
      <c r="Q28" s="2"/>
      <c r="R28" s="7">
        <f t="shared" si="8"/>
        <v>0</v>
      </c>
      <c r="S28" s="2"/>
      <c r="T28" s="6">
        <v>1266.9230769230769</v>
      </c>
      <c r="U28" s="2"/>
      <c r="V28" s="7">
        <f t="shared" si="9"/>
        <v>0</v>
      </c>
      <c r="W28" s="2"/>
      <c r="X28" s="6">
        <f t="shared" si="10"/>
        <v>446.676923076923</v>
      </c>
      <c r="Y28" s="2"/>
      <c r="Z28" s="7">
        <f t="shared" si="11"/>
        <v>0.35256830601092892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43.65</v>
      </c>
      <c r="E29" s="2"/>
      <c r="F29" s="7">
        <f t="shared" si="4"/>
        <v>0</v>
      </c>
      <c r="G29" s="2"/>
      <c r="H29" s="6">
        <v>350</v>
      </c>
      <c r="I29" s="2"/>
      <c r="J29" s="7">
        <f t="shared" si="5"/>
        <v>0</v>
      </c>
      <c r="K29" s="2"/>
      <c r="L29" s="6">
        <f t="shared" si="6"/>
        <v>-306.35000000000002</v>
      </c>
      <c r="M29" s="2"/>
      <c r="N29" s="7">
        <f t="shared" si="7"/>
        <v>-0.87528571428571433</v>
      </c>
      <c r="O29" s="11"/>
      <c r="P29" s="6">
        <v>67.650000000000006</v>
      </c>
      <c r="Q29" s="2"/>
      <c r="R29" s="7">
        <f t="shared" si="8"/>
        <v>0</v>
      </c>
      <c r="S29" s="2"/>
      <c r="T29" s="6">
        <v>700</v>
      </c>
      <c r="U29" s="2"/>
      <c r="V29" s="7">
        <f t="shared" si="9"/>
        <v>0</v>
      </c>
      <c r="W29" s="2"/>
      <c r="X29" s="6">
        <f t="shared" si="10"/>
        <v>-632.35</v>
      </c>
      <c r="Y29" s="2"/>
      <c r="Z29" s="7">
        <f t="shared" si="11"/>
        <v>-0.90335714285714286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14832.060000000001</v>
      </c>
      <c r="E30" s="1"/>
      <c r="F30" s="5">
        <f t="shared" ref="F30:F40" si="12">IF(D$12=0,0,D30/D$12)</f>
        <v>0</v>
      </c>
      <c r="G30" s="1"/>
      <c r="H30" s="1">
        <f>SUM(OSRRefH22_1x_0)</f>
        <v>17267.692307692269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-2435.6323076922672</v>
      </c>
      <c r="M30" s="1"/>
      <c r="N30" s="5">
        <f t="shared" ref="N30:N40" si="15">IF(H30=0,0,L30/H30)</f>
        <v>-0.14105140769778843</v>
      </c>
      <c r="O30" s="14"/>
      <c r="P30" s="1">
        <f>SUM(OSRRefP22_1x_0)</f>
        <v>35625.460000000006</v>
      </c>
      <c r="Q30" s="1"/>
      <c r="R30" s="5">
        <f t="shared" ref="R30:R40" si="16">IF(P$12=0,0,P30/P$12)</f>
        <v>0</v>
      </c>
      <c r="S30" s="1"/>
      <c r="T30" s="1">
        <f>SUM(OSRRefT22_1x_0)</f>
        <v>38852.30769230763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-3226.8476923076232</v>
      </c>
      <c r="Y30" s="1"/>
      <c r="Z30" s="5">
        <f t="shared" ref="Z30:Z40" si="19">IF(T30=0,0,X30/T30)</f>
        <v>-8.3054209234179083E-2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11404.53</v>
      </c>
      <c r="E31" s="2"/>
      <c r="F31" s="7">
        <f t="shared" si="12"/>
        <v>0</v>
      </c>
      <c r="G31" s="2"/>
      <c r="H31" s="6">
        <v>12738.461538461499</v>
      </c>
      <c r="I31" s="2"/>
      <c r="J31" s="7">
        <f t="shared" si="13"/>
        <v>0</v>
      </c>
      <c r="K31" s="2"/>
      <c r="L31" s="6">
        <f t="shared" si="14"/>
        <v>-1333.9315384614983</v>
      </c>
      <c r="M31" s="2"/>
      <c r="N31" s="7">
        <f t="shared" si="15"/>
        <v>-0.10471684782608413</v>
      </c>
      <c r="O31" s="11"/>
      <c r="P31" s="6">
        <v>28280.870000000003</v>
      </c>
      <c r="Q31" s="2"/>
      <c r="R31" s="7">
        <f t="shared" si="16"/>
        <v>0</v>
      </c>
      <c r="S31" s="2"/>
      <c r="T31" s="6">
        <v>28661.538461538399</v>
      </c>
      <c r="U31" s="2"/>
      <c r="V31" s="7">
        <f t="shared" si="17"/>
        <v>0</v>
      </c>
      <c r="W31" s="2"/>
      <c r="X31" s="6">
        <f t="shared" si="18"/>
        <v>-380.66846153839651</v>
      </c>
      <c r="Y31" s="2"/>
      <c r="Z31" s="7">
        <f t="shared" si="19"/>
        <v>-1.3281508319911877E-2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3427.53</v>
      </c>
      <c r="E32" s="2"/>
      <c r="F32" s="7">
        <f t="shared" si="12"/>
        <v>0</v>
      </c>
      <c r="G32" s="2"/>
      <c r="H32" s="6">
        <v>4529.2307692307704</v>
      </c>
      <c r="I32" s="2"/>
      <c r="J32" s="7">
        <f t="shared" si="13"/>
        <v>0</v>
      </c>
      <c r="K32" s="2"/>
      <c r="L32" s="6">
        <f t="shared" si="14"/>
        <v>-1101.7007692307702</v>
      </c>
      <c r="M32" s="2"/>
      <c r="N32" s="7">
        <f t="shared" si="15"/>
        <v>-0.24324235733695668</v>
      </c>
      <c r="O32" s="11"/>
      <c r="P32" s="6">
        <v>7344.59</v>
      </c>
      <c r="Q32" s="2"/>
      <c r="R32" s="7">
        <f t="shared" si="16"/>
        <v>0</v>
      </c>
      <c r="S32" s="2"/>
      <c r="T32" s="6">
        <v>10190.76923076923</v>
      </c>
      <c r="U32" s="2"/>
      <c r="V32" s="7">
        <f t="shared" si="17"/>
        <v>0</v>
      </c>
      <c r="W32" s="2"/>
      <c r="X32" s="6">
        <f t="shared" si="18"/>
        <v>-2846.1792307692303</v>
      </c>
      <c r="Y32" s="2"/>
      <c r="Z32" s="7">
        <f t="shared" si="19"/>
        <v>-0.27928993055555551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3.47</v>
      </c>
      <c r="E41" s="1"/>
      <c r="F41" s="5">
        <f t="shared" ref="F41:F62" si="20">IF(D$12=0,0,D41/D$12)</f>
        <v>0</v>
      </c>
      <c r="G41" s="1"/>
      <c r="H41" s="1">
        <f>SUM(OSRRefH22_2x_0)</f>
        <v>500</v>
      </c>
      <c r="I41" s="1"/>
      <c r="J41" s="5">
        <f t="shared" ref="J41:J62" si="21">IF(H$12=0,0,H41/H$12)</f>
        <v>0</v>
      </c>
      <c r="K41" s="1"/>
      <c r="L41" s="1">
        <f t="shared" ref="L41:L62" si="22">+D41-H41</f>
        <v>-496.53</v>
      </c>
      <c r="M41" s="1"/>
      <c r="N41" s="5">
        <f t="shared" ref="N41:N62" si="23">IF(H41=0,0,L41/H41)</f>
        <v>-0.99305999999999994</v>
      </c>
      <c r="O41" s="14"/>
      <c r="P41" s="1">
        <f>SUM(OSRRefP22_2x_0)</f>
        <v>61.85</v>
      </c>
      <c r="Q41" s="1"/>
      <c r="R41" s="5">
        <f t="shared" ref="R41:R62" si="24">IF(P$12=0,0,P41/P$12)</f>
        <v>0</v>
      </c>
      <c r="S41" s="1"/>
      <c r="T41" s="1">
        <f>SUM(OSRRefT22_2x_0)</f>
        <v>1000</v>
      </c>
      <c r="U41" s="1"/>
      <c r="V41" s="5">
        <f t="shared" ref="V41:V62" si="25">IF(T$12=0,0,T41/T$12)</f>
        <v>0</v>
      </c>
      <c r="W41" s="1"/>
      <c r="X41" s="1">
        <f t="shared" ref="X41:X62" si="26">+P41-T41</f>
        <v>-938.15</v>
      </c>
      <c r="Y41" s="1"/>
      <c r="Z41" s="5">
        <f t="shared" ref="Z41:Z62" si="27">IF(T41=0,0,X41/T41)</f>
        <v>-0.93814999999999993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3.47</v>
      </c>
      <c r="E42" s="2"/>
      <c r="F42" s="7">
        <f t="shared" si="20"/>
        <v>0</v>
      </c>
      <c r="G42" s="2"/>
      <c r="H42" s="6">
        <v>500</v>
      </c>
      <c r="I42" s="2"/>
      <c r="J42" s="7">
        <f t="shared" si="21"/>
        <v>0</v>
      </c>
      <c r="K42" s="2"/>
      <c r="L42" s="6">
        <f t="shared" si="22"/>
        <v>-496.53</v>
      </c>
      <c r="M42" s="2"/>
      <c r="N42" s="7">
        <f t="shared" si="23"/>
        <v>-0.99305999999999994</v>
      </c>
      <c r="O42" s="11"/>
      <c r="P42" s="6">
        <v>61.85</v>
      </c>
      <c r="Q42" s="2"/>
      <c r="R42" s="7">
        <f t="shared" si="24"/>
        <v>0</v>
      </c>
      <c r="S42" s="2"/>
      <c r="T42" s="6">
        <v>1000</v>
      </c>
      <c r="U42" s="2"/>
      <c r="V42" s="7">
        <f t="shared" si="25"/>
        <v>0</v>
      </c>
      <c r="W42" s="2"/>
      <c r="X42" s="6">
        <f t="shared" si="26"/>
        <v>-938.15</v>
      </c>
      <c r="Y42" s="2"/>
      <c r="Z42" s="7">
        <f t="shared" si="27"/>
        <v>-0.93814999999999993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629.74</v>
      </c>
      <c r="Q43" s="1"/>
      <c r="R43" s="5">
        <f t="shared" si="24"/>
        <v>0</v>
      </c>
      <c r="S43" s="1"/>
      <c r="T43" s="1">
        <f>SUM(OSRRefT22_3x_0)</f>
        <v>630</v>
      </c>
      <c r="U43" s="1"/>
      <c r="V43" s="5">
        <f t="shared" si="25"/>
        <v>0</v>
      </c>
      <c r="W43" s="1"/>
      <c r="X43" s="1">
        <f t="shared" si="26"/>
        <v>-0.25999999999999091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314.87</v>
      </c>
      <c r="E44" s="2"/>
      <c r="F44" s="7">
        <f t="shared" si="20"/>
        <v>0</v>
      </c>
      <c r="G44" s="2"/>
      <c r="H44" s="6">
        <v>315</v>
      </c>
      <c r="I44" s="2"/>
      <c r="J44" s="7">
        <f t="shared" si="21"/>
        <v>0</v>
      </c>
      <c r="K44" s="2"/>
      <c r="L44" s="6">
        <f t="shared" si="22"/>
        <v>-0.12999999999999545</v>
      </c>
      <c r="M44" s="2"/>
      <c r="N44" s="7">
        <f t="shared" si="23"/>
        <v>-4.1269841269839827E-4</v>
      </c>
      <c r="O44" s="11"/>
      <c r="P44" s="6">
        <v>629.74</v>
      </c>
      <c r="Q44" s="2"/>
      <c r="R44" s="7">
        <f t="shared" si="24"/>
        <v>0</v>
      </c>
      <c r="S44" s="2"/>
      <c r="T44" s="6">
        <v>630</v>
      </c>
      <c r="U44" s="2"/>
      <c r="V44" s="7">
        <f t="shared" si="25"/>
        <v>0</v>
      </c>
      <c r="W44" s="2"/>
      <c r="X44" s="6">
        <f t="shared" si="26"/>
        <v>-0.25999999999999091</v>
      </c>
      <c r="Y44" s="2"/>
      <c r="Z44" s="7">
        <f t="shared" si="27"/>
        <v>-4.1269841269839827E-4</v>
      </c>
    </row>
    <row r="45" spans="1:26" s="29" customFormat="1" outlineLevel="1" collapsed="1" x14ac:dyDescent="0.25">
      <c r="A45" s="28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0</v>
      </c>
      <c r="I45" s="1"/>
      <c r="J45" s="5">
        <f t="shared" si="21"/>
        <v>0</v>
      </c>
      <c r="K45" s="1"/>
      <c r="L45" s="1">
        <f t="shared" si="22"/>
        <v>0</v>
      </c>
      <c r="M45" s="1"/>
      <c r="N45" s="5">
        <f t="shared" si="23"/>
        <v>0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26500</v>
      </c>
      <c r="U45" s="1"/>
      <c r="V45" s="5">
        <f t="shared" si="25"/>
        <v>0</v>
      </c>
      <c r="W45" s="1"/>
      <c r="X45" s="1">
        <f t="shared" si="26"/>
        <v>-26500</v>
      </c>
      <c r="Y45" s="1"/>
      <c r="Z45" s="5">
        <f t="shared" si="27"/>
        <v>-1</v>
      </c>
    </row>
    <row r="46" spans="1:26" s="24" customFormat="1" hidden="1" outlineLevel="2" x14ac:dyDescent="0.25">
      <c r="A46" s="27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26500</v>
      </c>
      <c r="U46" s="2"/>
      <c r="V46" s="7">
        <f t="shared" si="25"/>
        <v>0</v>
      </c>
      <c r="W46" s="2"/>
      <c r="X46" s="6">
        <f t="shared" si="26"/>
        <v>-26500</v>
      </c>
      <c r="Y46" s="2"/>
      <c r="Z46" s="7">
        <f t="shared" si="27"/>
        <v>-1</v>
      </c>
    </row>
    <row r="47" spans="1:26" s="29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117.71</v>
      </c>
      <c r="E47" s="1"/>
      <c r="F47" s="5">
        <f t="shared" si="20"/>
        <v>0</v>
      </c>
      <c r="G47" s="1"/>
      <c r="H47" s="1">
        <f>SUM(OSRRefH22_5x_0)</f>
        <v>118</v>
      </c>
      <c r="I47" s="1"/>
      <c r="J47" s="5">
        <f t="shared" si="21"/>
        <v>0</v>
      </c>
      <c r="K47" s="1"/>
      <c r="L47" s="1">
        <f t="shared" si="22"/>
        <v>-0.29000000000000625</v>
      </c>
      <c r="M47" s="1"/>
      <c r="N47" s="5">
        <f t="shared" si="23"/>
        <v>-2.457627118644121E-3</v>
      </c>
      <c r="O47" s="14"/>
      <c r="P47" s="1">
        <f>SUM(OSRRefP22_5x_0)</f>
        <v>235.42</v>
      </c>
      <c r="Q47" s="1"/>
      <c r="R47" s="5">
        <f t="shared" si="24"/>
        <v>0</v>
      </c>
      <c r="S47" s="1"/>
      <c r="T47" s="1">
        <f>SUM(OSRRefT22_5x_0)</f>
        <v>236</v>
      </c>
      <c r="U47" s="1"/>
      <c r="V47" s="5">
        <f t="shared" si="25"/>
        <v>0</v>
      </c>
      <c r="W47" s="1"/>
      <c r="X47" s="1">
        <f t="shared" si="26"/>
        <v>-0.58000000000001251</v>
      </c>
      <c r="Y47" s="1"/>
      <c r="Z47" s="5">
        <f t="shared" si="27"/>
        <v>-2.457627118644121E-3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>
        <v>117.71</v>
      </c>
      <c r="E48" s="2"/>
      <c r="F48" s="7">
        <f t="shared" si="20"/>
        <v>0</v>
      </c>
      <c r="G48" s="2"/>
      <c r="H48" s="6">
        <v>118</v>
      </c>
      <c r="I48" s="2"/>
      <c r="J48" s="7">
        <f t="shared" si="21"/>
        <v>0</v>
      </c>
      <c r="K48" s="2"/>
      <c r="L48" s="6">
        <f t="shared" si="22"/>
        <v>-0.29000000000000625</v>
      </c>
      <c r="M48" s="2"/>
      <c r="N48" s="7">
        <f t="shared" si="23"/>
        <v>-2.457627118644121E-3</v>
      </c>
      <c r="O48" s="11"/>
      <c r="P48" s="6">
        <v>235.42</v>
      </c>
      <c r="Q48" s="2"/>
      <c r="R48" s="7">
        <f t="shared" si="24"/>
        <v>0</v>
      </c>
      <c r="S48" s="2"/>
      <c r="T48" s="6">
        <v>236</v>
      </c>
      <c r="U48" s="2"/>
      <c r="V48" s="7">
        <f t="shared" si="25"/>
        <v>0</v>
      </c>
      <c r="W48" s="2"/>
      <c r="X48" s="6">
        <f t="shared" si="26"/>
        <v>-0.58000000000001251</v>
      </c>
      <c r="Y48" s="2"/>
      <c r="Z48" s="7">
        <f t="shared" si="27"/>
        <v>-2.457627118644121E-3</v>
      </c>
    </row>
    <row r="49" spans="1:26" s="29" customFormat="1" outlineLevel="1" collapsed="1" x14ac:dyDescent="0.25">
      <c r="A49" s="28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15</v>
      </c>
      <c r="I49" s="1"/>
      <c r="J49" s="5">
        <f t="shared" si="21"/>
        <v>0</v>
      </c>
      <c r="K49" s="1"/>
      <c r="L49" s="1">
        <f t="shared" si="22"/>
        <v>-15</v>
      </c>
      <c r="M49" s="1"/>
      <c r="N49" s="5">
        <f t="shared" si="23"/>
        <v>-1</v>
      </c>
      <c r="O49" s="14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30</v>
      </c>
      <c r="U49" s="1"/>
      <c r="V49" s="5">
        <f t="shared" si="25"/>
        <v>0</v>
      </c>
      <c r="W49" s="1"/>
      <c r="X49" s="1">
        <f t="shared" si="26"/>
        <v>-30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15</v>
      </c>
      <c r="I50" s="2"/>
      <c r="J50" s="7">
        <f t="shared" si="21"/>
        <v>0</v>
      </c>
      <c r="K50" s="2"/>
      <c r="L50" s="6">
        <f t="shared" si="22"/>
        <v>-15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30</v>
      </c>
      <c r="U50" s="2"/>
      <c r="V50" s="7">
        <f t="shared" si="25"/>
        <v>0</v>
      </c>
      <c r="W50" s="2"/>
      <c r="X50" s="6">
        <f t="shared" si="26"/>
        <v>-30</v>
      </c>
      <c r="Y50" s="2"/>
      <c r="Z50" s="7">
        <f t="shared" si="27"/>
        <v>-1</v>
      </c>
    </row>
    <row r="51" spans="1:26" s="29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115.13</v>
      </c>
      <c r="E51" s="1"/>
      <c r="F51" s="5">
        <f t="shared" si="20"/>
        <v>0</v>
      </c>
      <c r="G51" s="1"/>
      <c r="H51" s="1">
        <f>SUM(OSRRefH22_7x_0)</f>
        <v>126</v>
      </c>
      <c r="I51" s="1"/>
      <c r="J51" s="5">
        <f t="shared" si="21"/>
        <v>0</v>
      </c>
      <c r="K51" s="1"/>
      <c r="L51" s="1">
        <f t="shared" si="22"/>
        <v>-10.870000000000005</v>
      </c>
      <c r="M51" s="1"/>
      <c r="N51" s="5">
        <f t="shared" si="23"/>
        <v>-8.6269841269841302E-2</v>
      </c>
      <c r="O51" s="14"/>
      <c r="P51" s="1">
        <f>SUM(OSRRefP22_7x_0)</f>
        <v>230.26</v>
      </c>
      <c r="Q51" s="1"/>
      <c r="R51" s="5">
        <f t="shared" si="24"/>
        <v>0</v>
      </c>
      <c r="S51" s="1"/>
      <c r="T51" s="1">
        <f>SUM(OSRRefT22_7x_0)</f>
        <v>252</v>
      </c>
      <c r="U51" s="1"/>
      <c r="V51" s="5">
        <f t="shared" si="25"/>
        <v>0</v>
      </c>
      <c r="W51" s="1"/>
      <c r="X51" s="1">
        <f t="shared" si="26"/>
        <v>-21.740000000000009</v>
      </c>
      <c r="Y51" s="1"/>
      <c r="Z51" s="5">
        <f t="shared" si="27"/>
        <v>-8.6269841269841302E-2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115.13</v>
      </c>
      <c r="E52" s="2"/>
      <c r="F52" s="7">
        <f t="shared" si="20"/>
        <v>0</v>
      </c>
      <c r="G52" s="2"/>
      <c r="H52" s="6">
        <v>126</v>
      </c>
      <c r="I52" s="2"/>
      <c r="J52" s="7">
        <f t="shared" si="21"/>
        <v>0</v>
      </c>
      <c r="K52" s="2"/>
      <c r="L52" s="6">
        <f t="shared" si="22"/>
        <v>-10.870000000000005</v>
      </c>
      <c r="M52" s="2"/>
      <c r="N52" s="7">
        <f t="shared" si="23"/>
        <v>-8.6269841269841302E-2</v>
      </c>
      <c r="O52" s="11"/>
      <c r="P52" s="6">
        <v>230.26</v>
      </c>
      <c r="Q52" s="2"/>
      <c r="R52" s="7">
        <f t="shared" si="24"/>
        <v>0</v>
      </c>
      <c r="S52" s="2"/>
      <c r="T52" s="6">
        <v>252</v>
      </c>
      <c r="U52" s="2"/>
      <c r="V52" s="7">
        <f t="shared" si="25"/>
        <v>0</v>
      </c>
      <c r="W52" s="2"/>
      <c r="X52" s="6">
        <f t="shared" si="26"/>
        <v>-21.740000000000009</v>
      </c>
      <c r="Y52" s="2"/>
      <c r="Z52" s="7">
        <f t="shared" si="27"/>
        <v>-8.6269841269841302E-2</v>
      </c>
    </row>
    <row r="53" spans="1:26" s="29" customFormat="1" outlineLevel="1" collapsed="1" x14ac:dyDescent="0.25">
      <c r="A53" s="28"/>
      <c r="B53" s="14" t="str">
        <f>CONCATENATE("     ","Professional Services                             ")</f>
        <v xml:space="preserve">     Professional Services                             </v>
      </c>
      <c r="C53" s="14"/>
      <c r="D53" s="1">
        <f>SUM(OSRRefD22_8x_0)</f>
        <v>1050</v>
      </c>
      <c r="E53" s="1"/>
      <c r="F53" s="5">
        <f t="shared" si="20"/>
        <v>0</v>
      </c>
      <c r="G53" s="1"/>
      <c r="H53" s="1">
        <f>SUM(OSRRefH22_8x_0)</f>
        <v>0</v>
      </c>
      <c r="I53" s="1"/>
      <c r="J53" s="5">
        <f t="shared" si="21"/>
        <v>0</v>
      </c>
      <c r="K53" s="1"/>
      <c r="L53" s="1">
        <f t="shared" si="22"/>
        <v>1050</v>
      </c>
      <c r="M53" s="1"/>
      <c r="N53" s="5">
        <f t="shared" si="23"/>
        <v>0</v>
      </c>
      <c r="O53" s="14"/>
      <c r="P53" s="1">
        <f>SUM(OSRRefP22_8x_0)</f>
        <v>1150</v>
      </c>
      <c r="Q53" s="1"/>
      <c r="R53" s="5">
        <f t="shared" si="24"/>
        <v>0</v>
      </c>
      <c r="S53" s="1"/>
      <c r="T53" s="1">
        <f>SUM(OSRRefT22_8x_0)</f>
        <v>0</v>
      </c>
      <c r="U53" s="1"/>
      <c r="V53" s="5">
        <f t="shared" si="25"/>
        <v>0</v>
      </c>
      <c r="W53" s="1"/>
      <c r="X53" s="1">
        <f t="shared" si="26"/>
        <v>1150</v>
      </c>
      <c r="Y53" s="1"/>
      <c r="Z53" s="5">
        <f t="shared" si="27"/>
        <v>0</v>
      </c>
    </row>
    <row r="54" spans="1:26" s="24" customFormat="1" hidden="1" outlineLevel="2" x14ac:dyDescent="0.25">
      <c r="A54" s="27"/>
      <c r="B54" s="11" t="str">
        <f>CONCATENATE("          ", "6334", " - ", "LEGAL COUNCIL EXPENSE")</f>
        <v xml:space="preserve">          6334 - LEGAL COUNCIL EXPENSE</v>
      </c>
      <c r="C54" s="11"/>
      <c r="D54" s="6">
        <v>1050</v>
      </c>
      <c r="E54" s="2"/>
      <c r="F54" s="7">
        <f t="shared" si="20"/>
        <v>0</v>
      </c>
      <c r="G54" s="2"/>
      <c r="H54" s="6"/>
      <c r="I54" s="2"/>
      <c r="J54" s="7">
        <f t="shared" si="21"/>
        <v>0</v>
      </c>
      <c r="K54" s="2"/>
      <c r="L54" s="6">
        <f t="shared" si="22"/>
        <v>1050</v>
      </c>
      <c r="M54" s="2"/>
      <c r="N54" s="7">
        <f t="shared" si="23"/>
        <v>0</v>
      </c>
      <c r="O54" s="11"/>
      <c r="P54" s="6">
        <v>1150</v>
      </c>
      <c r="Q54" s="2"/>
      <c r="R54" s="7">
        <f t="shared" si="24"/>
        <v>0</v>
      </c>
      <c r="S54" s="2"/>
      <c r="T54" s="6"/>
      <c r="U54" s="2"/>
      <c r="V54" s="7">
        <f t="shared" si="25"/>
        <v>0</v>
      </c>
      <c r="W54" s="2"/>
      <c r="X54" s="6">
        <f t="shared" si="26"/>
        <v>1150</v>
      </c>
      <c r="Y54" s="2"/>
      <c r="Z54" s="7">
        <f t="shared" si="27"/>
        <v>0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2565</v>
      </c>
      <c r="E55" s="1"/>
      <c r="F55" s="5">
        <f t="shared" si="20"/>
        <v>0</v>
      </c>
      <c r="G55" s="1"/>
      <c r="H55" s="1">
        <f>SUM(OSRRefH22_9x_0)</f>
        <v>2182</v>
      </c>
      <c r="I55" s="1"/>
      <c r="J55" s="5">
        <f t="shared" si="21"/>
        <v>0</v>
      </c>
      <c r="K55" s="1"/>
      <c r="L55" s="1">
        <f t="shared" si="22"/>
        <v>383</v>
      </c>
      <c r="M55" s="1"/>
      <c r="N55" s="5">
        <f t="shared" si="23"/>
        <v>0.17552703941338221</v>
      </c>
      <c r="O55" s="14"/>
      <c r="P55" s="1">
        <f>SUM(OSRRefP22_9x_0)</f>
        <v>5152.7299999999996</v>
      </c>
      <c r="Q55" s="1"/>
      <c r="R55" s="5">
        <f t="shared" si="24"/>
        <v>0</v>
      </c>
      <c r="S55" s="1"/>
      <c r="T55" s="1">
        <f>SUM(OSRRefT22_9x_0)</f>
        <v>4364</v>
      </c>
      <c r="U55" s="1"/>
      <c r="V55" s="5">
        <f t="shared" si="25"/>
        <v>0</v>
      </c>
      <c r="W55" s="1"/>
      <c r="X55" s="1">
        <f t="shared" si="26"/>
        <v>788.72999999999956</v>
      </c>
      <c r="Y55" s="1"/>
      <c r="Z55" s="5">
        <f t="shared" si="27"/>
        <v>0.18073556370302465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2565</v>
      </c>
      <c r="E56" s="2"/>
      <c r="F56" s="7">
        <f t="shared" si="20"/>
        <v>0</v>
      </c>
      <c r="G56" s="2"/>
      <c r="H56" s="6">
        <v>2182</v>
      </c>
      <c r="I56" s="2"/>
      <c r="J56" s="7">
        <f t="shared" si="21"/>
        <v>0</v>
      </c>
      <c r="K56" s="2"/>
      <c r="L56" s="6">
        <f t="shared" si="22"/>
        <v>383</v>
      </c>
      <c r="M56" s="2"/>
      <c r="N56" s="7">
        <f t="shared" si="23"/>
        <v>0.17552703941338221</v>
      </c>
      <c r="O56" s="11"/>
      <c r="P56" s="6">
        <v>5152.7299999999996</v>
      </c>
      <c r="Q56" s="2"/>
      <c r="R56" s="7">
        <f t="shared" si="24"/>
        <v>0</v>
      </c>
      <c r="S56" s="2"/>
      <c r="T56" s="6">
        <v>4364</v>
      </c>
      <c r="U56" s="2"/>
      <c r="V56" s="7">
        <f t="shared" si="25"/>
        <v>0</v>
      </c>
      <c r="W56" s="2"/>
      <c r="X56" s="6">
        <f t="shared" si="26"/>
        <v>788.72999999999956</v>
      </c>
      <c r="Y56" s="2"/>
      <c r="Z56" s="7">
        <f t="shared" si="27"/>
        <v>0.18073556370302465</v>
      </c>
    </row>
    <row r="57" spans="1:26" s="29" customFormat="1" outlineLevel="1" collapsed="1" x14ac:dyDescent="0.25">
      <c r="A57" s="28"/>
      <c r="B57" s="14" t="str">
        <f>CONCATENATE("     ","Subscriptions &amp; Dues                              ")</f>
        <v xml:space="preserve">     Subscriptions &amp; Dues                              </v>
      </c>
      <c r="C57" s="14"/>
      <c r="D57" s="1">
        <f>SUM(OSRRefD22_10x_0)</f>
        <v>1725</v>
      </c>
      <c r="E57" s="1"/>
      <c r="F57" s="5">
        <f t="shared" si="20"/>
        <v>0</v>
      </c>
      <c r="G57" s="1"/>
      <c r="H57" s="1">
        <f>SUM(OSRRefH22_10x_0)</f>
        <v>1000</v>
      </c>
      <c r="I57" s="1"/>
      <c r="J57" s="5">
        <f t="shared" si="21"/>
        <v>0</v>
      </c>
      <c r="K57" s="1"/>
      <c r="L57" s="1">
        <f t="shared" si="22"/>
        <v>725</v>
      </c>
      <c r="M57" s="1"/>
      <c r="N57" s="5">
        <f t="shared" si="23"/>
        <v>0.72499999999999998</v>
      </c>
      <c r="O57" s="14"/>
      <c r="P57" s="1">
        <f>SUM(OSRRefP22_10x_0)</f>
        <v>1725</v>
      </c>
      <c r="Q57" s="1"/>
      <c r="R57" s="5">
        <f t="shared" si="24"/>
        <v>0</v>
      </c>
      <c r="S57" s="1"/>
      <c r="T57" s="1">
        <f>SUM(OSRRefT22_10x_0)</f>
        <v>1250</v>
      </c>
      <c r="U57" s="1"/>
      <c r="V57" s="5">
        <f t="shared" si="25"/>
        <v>0</v>
      </c>
      <c r="W57" s="1"/>
      <c r="X57" s="1">
        <f t="shared" si="26"/>
        <v>475</v>
      </c>
      <c r="Y57" s="1"/>
      <c r="Z57" s="5">
        <f t="shared" si="27"/>
        <v>0.38</v>
      </c>
    </row>
    <row r="58" spans="1:26" s="24" customFormat="1" hidden="1" outlineLevel="2" x14ac:dyDescent="0.25">
      <c r="A58" s="27"/>
      <c r="B58" s="11" t="str">
        <f>CONCATENATE("          ", "6258", " - ", "MEMBERSHIP DUES")</f>
        <v xml:space="preserve">          6258 - MEMBERSHIP DUES</v>
      </c>
      <c r="C58" s="11"/>
      <c r="D58" s="6">
        <v>1725</v>
      </c>
      <c r="E58" s="2"/>
      <c r="F58" s="7">
        <f t="shared" si="20"/>
        <v>0</v>
      </c>
      <c r="G58" s="2"/>
      <c r="H58" s="6">
        <v>1000</v>
      </c>
      <c r="I58" s="2"/>
      <c r="J58" s="7">
        <f t="shared" si="21"/>
        <v>0</v>
      </c>
      <c r="K58" s="2"/>
      <c r="L58" s="6">
        <f t="shared" si="22"/>
        <v>725</v>
      </c>
      <c r="M58" s="2"/>
      <c r="N58" s="7">
        <f t="shared" si="23"/>
        <v>0.72499999999999998</v>
      </c>
      <c r="O58" s="11"/>
      <c r="P58" s="6">
        <v>1725</v>
      </c>
      <c r="Q58" s="2"/>
      <c r="R58" s="7">
        <f t="shared" si="24"/>
        <v>0</v>
      </c>
      <c r="S58" s="2"/>
      <c r="T58" s="6">
        <v>1250</v>
      </c>
      <c r="U58" s="2"/>
      <c r="V58" s="7">
        <f t="shared" si="25"/>
        <v>0</v>
      </c>
      <c r="W58" s="2"/>
      <c r="X58" s="6">
        <f t="shared" si="26"/>
        <v>475</v>
      </c>
      <c r="Y58" s="2"/>
      <c r="Z58" s="7">
        <f t="shared" si="27"/>
        <v>0.38</v>
      </c>
    </row>
    <row r="59" spans="1:26" s="29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SUM(OSRRefD22_11x_0)</f>
        <v>0</v>
      </c>
      <c r="E59" s="1"/>
      <c r="F59" s="5">
        <f t="shared" si="20"/>
        <v>0</v>
      </c>
      <c r="G59" s="1"/>
      <c r="H59" s="1">
        <f>SUM(OSRRefH22_11x_0)</f>
        <v>3500</v>
      </c>
      <c r="I59" s="1"/>
      <c r="J59" s="5">
        <f t="shared" si="21"/>
        <v>0</v>
      </c>
      <c r="K59" s="1"/>
      <c r="L59" s="1">
        <f t="shared" si="22"/>
        <v>-3500</v>
      </c>
      <c r="M59" s="1"/>
      <c r="N59" s="5">
        <f t="shared" si="23"/>
        <v>-1</v>
      </c>
      <c r="O59" s="14"/>
      <c r="P59" s="1">
        <f>SUM(OSRRefP22_11x_0)</f>
        <v>132.01</v>
      </c>
      <c r="Q59" s="1"/>
      <c r="R59" s="5">
        <f t="shared" si="24"/>
        <v>0</v>
      </c>
      <c r="S59" s="1"/>
      <c r="T59" s="1">
        <f>SUM(OSRRefT22_11x_0)</f>
        <v>4500</v>
      </c>
      <c r="U59" s="1"/>
      <c r="V59" s="5">
        <f t="shared" si="25"/>
        <v>0</v>
      </c>
      <c r="W59" s="1"/>
      <c r="X59" s="1">
        <f t="shared" si="26"/>
        <v>-4367.99</v>
      </c>
      <c r="Y59" s="1"/>
      <c r="Z59" s="5">
        <f t="shared" si="27"/>
        <v>-0.97066444444444444</v>
      </c>
    </row>
    <row r="60" spans="1:26" s="24" customFormat="1" hidden="1" outlineLevel="2" x14ac:dyDescent="0.25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20"/>
        <v>0</v>
      </c>
      <c r="G60" s="2"/>
      <c r="H60" s="6">
        <v>1000</v>
      </c>
      <c r="I60" s="2"/>
      <c r="J60" s="7">
        <f t="shared" si="21"/>
        <v>0</v>
      </c>
      <c r="K60" s="2"/>
      <c r="L60" s="6">
        <f t="shared" si="22"/>
        <v>-1000</v>
      </c>
      <c r="M60" s="2"/>
      <c r="N60" s="7">
        <f t="shared" si="23"/>
        <v>-1</v>
      </c>
      <c r="O60" s="11"/>
      <c r="P60" s="6"/>
      <c r="Q60" s="2"/>
      <c r="R60" s="7">
        <f t="shared" si="24"/>
        <v>0</v>
      </c>
      <c r="S60" s="2"/>
      <c r="T60" s="6">
        <v>2000</v>
      </c>
      <c r="U60" s="2"/>
      <c r="V60" s="7">
        <f t="shared" si="25"/>
        <v>0</v>
      </c>
      <c r="W60" s="2"/>
      <c r="X60" s="6">
        <f t="shared" si="26"/>
        <v>-2000</v>
      </c>
      <c r="Y60" s="2"/>
      <c r="Z60" s="7">
        <f t="shared" si="27"/>
        <v>-1</v>
      </c>
    </row>
    <row r="61" spans="1:26" s="24" customFormat="1" hidden="1" outlineLevel="2" x14ac:dyDescent="0.25">
      <c r="A61" s="27"/>
      <c r="B61" s="11" t="str">
        <f>CONCATENATE("          ", "6235", " - ", "COVID-19 EXPENSES")</f>
        <v xml:space="preserve">          6235 - COVID-19 EXPENSES</v>
      </c>
      <c r="C61" s="11"/>
      <c r="D61" s="6"/>
      <c r="E61" s="2"/>
      <c r="F61" s="7">
        <f t="shared" si="20"/>
        <v>0</v>
      </c>
      <c r="G61" s="2"/>
      <c r="H61" s="6"/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106.94</v>
      </c>
      <c r="Q61" s="2"/>
      <c r="R61" s="7">
        <f t="shared" si="24"/>
        <v>0</v>
      </c>
      <c r="S61" s="2"/>
      <c r="T61" s="6"/>
      <c r="U61" s="2"/>
      <c r="V61" s="7">
        <f t="shared" si="25"/>
        <v>0</v>
      </c>
      <c r="W61" s="2"/>
      <c r="X61" s="6">
        <f t="shared" si="26"/>
        <v>106.94</v>
      </c>
      <c r="Y61" s="2"/>
      <c r="Z61" s="7">
        <f t="shared" si="27"/>
        <v>0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20"/>
        <v>0</v>
      </c>
      <c r="G62" s="2"/>
      <c r="H62" s="6">
        <v>2500</v>
      </c>
      <c r="I62" s="2"/>
      <c r="J62" s="7">
        <f t="shared" si="21"/>
        <v>0</v>
      </c>
      <c r="K62" s="2"/>
      <c r="L62" s="6">
        <f t="shared" si="22"/>
        <v>-2500</v>
      </c>
      <c r="M62" s="2"/>
      <c r="N62" s="7">
        <f t="shared" si="23"/>
        <v>-1</v>
      </c>
      <c r="O62" s="11"/>
      <c r="P62" s="6">
        <v>25.07</v>
      </c>
      <c r="Q62" s="2"/>
      <c r="R62" s="7">
        <f t="shared" si="24"/>
        <v>0</v>
      </c>
      <c r="S62" s="2"/>
      <c r="T62" s="6">
        <v>2500</v>
      </c>
      <c r="U62" s="2"/>
      <c r="V62" s="7">
        <f t="shared" si="25"/>
        <v>0</v>
      </c>
      <c r="W62" s="2"/>
      <c r="X62" s="6">
        <f t="shared" si="26"/>
        <v>-2474.9299999999998</v>
      </c>
      <c r="Y62" s="2"/>
      <c r="Z62" s="7">
        <f t="shared" si="27"/>
        <v>-0.98997199999999996</v>
      </c>
    </row>
    <row r="63" spans="1:26" s="29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SUM(OSRRefD22_12x_0)</f>
        <v>304.26</v>
      </c>
      <c r="E63" s="1"/>
      <c r="F63" s="5">
        <f t="shared" ref="F63:F64" si="28">IF(D$12=0,0,D63/D$12)</f>
        <v>0</v>
      </c>
      <c r="G63" s="1"/>
      <c r="H63" s="1">
        <f>SUM(OSRRefH22_12x_0)</f>
        <v>350</v>
      </c>
      <c r="I63" s="1"/>
      <c r="J63" s="5">
        <f t="shared" ref="J63:J64" si="29">IF(H$12=0,0,H63/H$12)</f>
        <v>0</v>
      </c>
      <c r="K63" s="1"/>
      <c r="L63" s="1">
        <f t="shared" ref="L63:L64" si="30">+D63-H63</f>
        <v>-45.740000000000009</v>
      </c>
      <c r="M63" s="1"/>
      <c r="N63" s="5">
        <f t="shared" ref="N63:N64" si="31">IF(H63=0,0,L63/H63)</f>
        <v>-0.13068571428571432</v>
      </c>
      <c r="O63" s="14"/>
      <c r="P63" s="1">
        <f>SUM(OSRRefP22_12x_0)</f>
        <v>607.41999999999996</v>
      </c>
      <c r="Q63" s="1"/>
      <c r="R63" s="5">
        <f t="shared" ref="R63:R64" si="32">IF(P$12=0,0,P63/P$12)</f>
        <v>0</v>
      </c>
      <c r="S63" s="1"/>
      <c r="T63" s="1">
        <f>SUM(OSRRefT22_12x_0)</f>
        <v>700</v>
      </c>
      <c r="U63" s="1"/>
      <c r="V63" s="5">
        <f t="shared" ref="V63:V64" si="33">IF(T$12=0,0,T63/T$12)</f>
        <v>0</v>
      </c>
      <c r="W63" s="1"/>
      <c r="X63" s="1">
        <f t="shared" ref="X63:X64" si="34">+P63-T63</f>
        <v>-92.580000000000041</v>
      </c>
      <c r="Y63" s="1"/>
      <c r="Z63" s="5">
        <f t="shared" ref="Z63:Z64" si="35">IF(T63=0,0,X63/T63)</f>
        <v>-0.13225714285714291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304.26</v>
      </c>
      <c r="E64" s="2"/>
      <c r="F64" s="7">
        <f t="shared" si="28"/>
        <v>0</v>
      </c>
      <c r="G64" s="2"/>
      <c r="H64" s="6">
        <v>350</v>
      </c>
      <c r="I64" s="2"/>
      <c r="J64" s="7">
        <f t="shared" si="29"/>
        <v>0</v>
      </c>
      <c r="K64" s="2"/>
      <c r="L64" s="6">
        <f t="shared" si="30"/>
        <v>-45.740000000000009</v>
      </c>
      <c r="M64" s="2"/>
      <c r="N64" s="7">
        <f t="shared" si="31"/>
        <v>-0.13068571428571432</v>
      </c>
      <c r="O64" s="11"/>
      <c r="P64" s="6">
        <v>607.41999999999996</v>
      </c>
      <c r="Q64" s="2"/>
      <c r="R64" s="7">
        <f t="shared" si="32"/>
        <v>0</v>
      </c>
      <c r="S64" s="2"/>
      <c r="T64" s="6">
        <v>700</v>
      </c>
      <c r="U64" s="2"/>
      <c r="V64" s="7">
        <f t="shared" si="33"/>
        <v>0</v>
      </c>
      <c r="W64" s="2"/>
      <c r="X64" s="6">
        <f t="shared" si="34"/>
        <v>-92.580000000000041</v>
      </c>
      <c r="Y64" s="2"/>
      <c r="Z64" s="7">
        <f t="shared" si="35"/>
        <v>-0.13225714285714291</v>
      </c>
    </row>
    <row r="65" spans="1:26" s="61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2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2" customFormat="1" x14ac:dyDescent="0.25">
      <c r="A68" s="10"/>
      <c r="B68" s="26" t="s">
        <v>3</v>
      </c>
      <c r="C68" s="26"/>
      <c r="D68" s="21">
        <f>+D17-D19+D66</f>
        <v>-31265.519999999997</v>
      </c>
      <c r="E68" s="13"/>
      <c r="F68" s="20">
        <f>IF(D$12=0,0,D68/D$12)</f>
        <v>0</v>
      </c>
      <c r="G68" s="13"/>
      <c r="H68" s="21">
        <f>+H17-H19+H66</f>
        <v>-33751.532307692272</v>
      </c>
      <c r="I68" s="13"/>
      <c r="J68" s="20">
        <f>IF(H$12=0,0,H68/H$12)</f>
        <v>0</v>
      </c>
      <c r="K68" s="16"/>
      <c r="L68" s="21">
        <f>+D68-H68</f>
        <v>2486.0123076922755</v>
      </c>
      <c r="M68" s="16"/>
      <c r="N68" s="20">
        <f>IF(H68=0,0,L68/H68)</f>
        <v>-7.3656279810611486E-2</v>
      </c>
      <c r="O68" s="25"/>
      <c r="P68" s="21">
        <f>+P17-P19+P66</f>
        <v>-66926.27</v>
      </c>
      <c r="Q68" s="13"/>
      <c r="R68" s="20">
        <f>IF(P$12=0,0,P68/P$12)</f>
        <v>0</v>
      </c>
      <c r="S68" s="13"/>
      <c r="T68" s="21">
        <f>+T17-T19+T66</f>
        <v>-96235.697692307629</v>
      </c>
      <c r="U68" s="13"/>
      <c r="V68" s="20">
        <f>IF(T$12=0,0,T68/T$12)</f>
        <v>0</v>
      </c>
      <c r="W68" s="16"/>
      <c r="X68" s="21">
        <f>+P68-T68</f>
        <v>29309.427692307625</v>
      </c>
      <c r="Y68" s="16"/>
      <c r="Z68" s="20">
        <f>IF(T68=0,0,X68/T68)</f>
        <v>-0.30455879050223172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2" customFormat="1" x14ac:dyDescent="0.25">
      <c r="A70" s="52"/>
      <c r="B70" s="10" t="s">
        <v>14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2" customFormat="1" ht="15.75" thickBot="1" x14ac:dyDescent="0.3">
      <c r="A72" s="10"/>
      <c r="B72" s="26" t="s">
        <v>4</v>
      </c>
      <c r="C72" s="26"/>
      <c r="D72" s="33">
        <f>+D68-D70</f>
        <v>-31265.519999999997</v>
      </c>
      <c r="E72" s="13"/>
      <c r="F72" s="31">
        <f>IF(D$12=0,0,D72/D$12)</f>
        <v>0</v>
      </c>
      <c r="G72" s="13"/>
      <c r="H72" s="33">
        <f>+H68-H70</f>
        <v>-33751.532307692272</v>
      </c>
      <c r="I72" s="13"/>
      <c r="J72" s="31">
        <f>IF(H$12=0,0,H72/H$12)</f>
        <v>0</v>
      </c>
      <c r="K72" s="16"/>
      <c r="L72" s="33">
        <f>D72-H72</f>
        <v>2486.0123076922755</v>
      </c>
      <c r="M72" s="16"/>
      <c r="N72" s="31">
        <f>IF(H72=0,0,L72/H72)</f>
        <v>-7.3656279810611486E-2</v>
      </c>
      <c r="O72" s="25"/>
      <c r="P72" s="33">
        <f>+P68-P70</f>
        <v>-66926.27</v>
      </c>
      <c r="Q72" s="13"/>
      <c r="R72" s="31">
        <f>IF(P$12=0,0,P72/P$12)</f>
        <v>0</v>
      </c>
      <c r="S72" s="13"/>
      <c r="T72" s="33">
        <f>+T68-T70</f>
        <v>-96235.697692307629</v>
      </c>
      <c r="U72" s="13"/>
      <c r="V72" s="31">
        <f>IF(T$12=0,0,T72/T$12)</f>
        <v>0</v>
      </c>
      <c r="W72" s="16"/>
      <c r="X72" s="33">
        <f>P72-T72</f>
        <v>29309.427692307625</v>
      </c>
      <c r="Y72" s="16"/>
      <c r="Z72" s="31">
        <f>IF(T72=0,0,X72/T72)</f>
        <v>-0.30455879050223172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2" customFormat="1" ht="15.75" thickBot="1" x14ac:dyDescent="0.3">
      <c r="A75" s="10"/>
      <c r="B75" s="26" t="s">
        <v>5</v>
      </c>
      <c r="C75" s="26"/>
      <c r="D75" s="32">
        <f>SUM(D72:D74)</f>
        <v>-31265.519999999997</v>
      </c>
      <c r="E75" s="13"/>
      <c r="F75" s="35">
        <f>IF(D$12=0,0,D75/D$12)</f>
        <v>0</v>
      </c>
      <c r="G75" s="13"/>
      <c r="H75" s="32">
        <f>SUM(H72:H74)</f>
        <v>-33751.532307692272</v>
      </c>
      <c r="I75" s="13"/>
      <c r="J75" s="35">
        <f>IF(H$12=0,0,H75/H$12)</f>
        <v>0</v>
      </c>
      <c r="K75" s="16"/>
      <c r="L75" s="32">
        <f>+D75-H75</f>
        <v>2486.0123076922755</v>
      </c>
      <c r="M75" s="16"/>
      <c r="N75" s="35">
        <f>IF(H75=0,0,L75/H75)</f>
        <v>-7.3656279810611486E-2</v>
      </c>
      <c r="O75" s="25"/>
      <c r="P75" s="32">
        <f>SUM(P72:P74)</f>
        <v>-66926.27</v>
      </c>
      <c r="Q75" s="13"/>
      <c r="R75" s="35">
        <f>IF(P$12=0,0,P75/P$12)</f>
        <v>0</v>
      </c>
      <c r="S75" s="13"/>
      <c r="T75" s="32">
        <f>SUM(T72:T74)</f>
        <v>-96235.697692307629</v>
      </c>
      <c r="U75" s="13"/>
      <c r="V75" s="35">
        <f>IF(T$12=0,0,T75/T$12)</f>
        <v>0</v>
      </c>
      <c r="W75" s="16"/>
      <c r="X75" s="32">
        <f>+P75-T75</f>
        <v>29309.427692307625</v>
      </c>
      <c r="Y75" s="16"/>
      <c r="Z75" s="35">
        <f>IF(T75=0,0,X75/T75)</f>
        <v>-0.30455879050223172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9">
        <v>44113.689195636573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2" t="s">
        <v>314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3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","202", " - ", "Accounting")</f>
        <v>Department 202 - Accounting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/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5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34593.850000000006</v>
      </c>
      <c r="E19" s="19"/>
      <c r="F19" s="30">
        <f t="shared" ref="F19:F29" si="4">IF(D$12=0,0,D19/D$12)</f>
        <v>0</v>
      </c>
      <c r="G19" s="19"/>
      <c r="H19" s="19">
        <f>SUM(OSRRefH22x_0)</f>
        <v>34966.791615384667</v>
      </c>
      <c r="I19" s="19"/>
      <c r="J19" s="30">
        <f t="shared" ref="J19:J29" si="5">IF(H$12=0,0,H19/H$12)</f>
        <v>0</v>
      </c>
      <c r="K19" s="4"/>
      <c r="L19" s="19">
        <f t="shared" ref="L19:L29" si="6">+D19-H19</f>
        <v>-372.94161538466142</v>
      </c>
      <c r="M19" s="4"/>
      <c r="N19" s="30">
        <f t="shared" ref="N19:N29" si="7">IF(H19=0,0,L19/H19)</f>
        <v>-1.0665594358407615E-2</v>
      </c>
      <c r="O19" s="10"/>
      <c r="P19" s="19">
        <f>SUM(OSRRefP22x_0)</f>
        <v>73991.889999999985</v>
      </c>
      <c r="Q19" s="19"/>
      <c r="R19" s="30">
        <f t="shared" ref="R19:R29" si="8">IF(P$12=0,0,P19/P$12)</f>
        <v>0</v>
      </c>
      <c r="S19" s="19"/>
      <c r="T19" s="19">
        <f>SUM(OSRRefT22x_0)</f>
        <v>84425.36113461545</v>
      </c>
      <c r="U19" s="19"/>
      <c r="V19" s="30">
        <f t="shared" ref="V19:V29" si="9">IF(T$12=0,0,T19/T$12)</f>
        <v>0</v>
      </c>
      <c r="W19" s="4"/>
      <c r="X19" s="19">
        <f t="shared" ref="X19:X29" si="10">+P19-T19</f>
        <v>-10433.471134615465</v>
      </c>
      <c r="Y19" s="4"/>
      <c r="Z19" s="30">
        <f t="shared" ref="Z19:Z29" si="11">IF(T19=0,0,X19/T19)</f>
        <v>-0.12358219135100167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12164.130000000001</v>
      </c>
      <c r="E20" s="1"/>
      <c r="F20" s="5">
        <f t="shared" si="4"/>
        <v>0</v>
      </c>
      <c r="G20" s="1"/>
      <c r="H20" s="1">
        <f>SUM(OSRRefH22_0x_0)</f>
        <v>11282.176230769233</v>
      </c>
      <c r="I20" s="1"/>
      <c r="J20" s="5">
        <f t="shared" si="5"/>
        <v>0</v>
      </c>
      <c r="K20" s="1"/>
      <c r="L20" s="1">
        <f t="shared" si="6"/>
        <v>881.95376923076765</v>
      </c>
      <c r="M20" s="1"/>
      <c r="N20" s="5">
        <f t="shared" si="7"/>
        <v>7.8172309241674995E-2</v>
      </c>
      <c r="O20" s="14"/>
      <c r="P20" s="1">
        <f>SUM(OSRRefP22_0x_0)</f>
        <v>25247.59</v>
      </c>
      <c r="Q20" s="1"/>
      <c r="R20" s="5">
        <f t="shared" si="8"/>
        <v>0</v>
      </c>
      <c r="S20" s="1"/>
      <c r="T20" s="1">
        <f>SUM(OSRRefT22_0x_0)</f>
        <v>23983.476519230786</v>
      </c>
      <c r="U20" s="1"/>
      <c r="V20" s="5">
        <f t="shared" si="9"/>
        <v>0</v>
      </c>
      <c r="W20" s="1"/>
      <c r="X20" s="1">
        <f t="shared" si="10"/>
        <v>1264.1134807692142</v>
      </c>
      <c r="Y20" s="1"/>
      <c r="Z20" s="5">
        <f t="shared" si="11"/>
        <v>5.2707683131576193E-2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1625.77</v>
      </c>
      <c r="E21" s="2"/>
      <c r="F21" s="7">
        <f t="shared" si="4"/>
        <v>0</v>
      </c>
      <c r="G21" s="2"/>
      <c r="H21" s="6">
        <v>1625.37946153846</v>
      </c>
      <c r="I21" s="2"/>
      <c r="J21" s="7">
        <f t="shared" si="5"/>
        <v>0</v>
      </c>
      <c r="K21" s="2"/>
      <c r="L21" s="6">
        <f t="shared" si="6"/>
        <v>0.39053846154001803</v>
      </c>
      <c r="M21" s="2"/>
      <c r="N21" s="7">
        <f t="shared" si="7"/>
        <v>2.4027525312173207E-4</v>
      </c>
      <c r="O21" s="11"/>
      <c r="P21" s="6">
        <v>3247.12</v>
      </c>
      <c r="Q21" s="2"/>
      <c r="R21" s="7">
        <f t="shared" si="8"/>
        <v>0</v>
      </c>
      <c r="S21" s="2"/>
      <c r="T21" s="6">
        <v>3657.1037884615403</v>
      </c>
      <c r="U21" s="2"/>
      <c r="V21" s="7">
        <f t="shared" si="9"/>
        <v>0</v>
      </c>
      <c r="W21" s="2"/>
      <c r="X21" s="6">
        <f t="shared" si="10"/>
        <v>-409.98378846154037</v>
      </c>
      <c r="Y21" s="2"/>
      <c r="Z21" s="7">
        <f t="shared" si="11"/>
        <v>-0.11210613976969222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69.989999999999995</v>
      </c>
      <c r="E22" s="2"/>
      <c r="F22" s="7">
        <f t="shared" si="4"/>
        <v>0</v>
      </c>
      <c r="G22" s="2"/>
      <c r="H22" s="6">
        <v>73.518923076923102</v>
      </c>
      <c r="I22" s="2"/>
      <c r="J22" s="7">
        <f t="shared" si="5"/>
        <v>0</v>
      </c>
      <c r="K22" s="2"/>
      <c r="L22" s="6">
        <f t="shared" si="6"/>
        <v>-3.5289230769231068</v>
      </c>
      <c r="M22" s="2"/>
      <c r="N22" s="7">
        <f t="shared" si="7"/>
        <v>-4.8000200890195063E-2</v>
      </c>
      <c r="O22" s="11"/>
      <c r="P22" s="6">
        <v>140.02000000000001</v>
      </c>
      <c r="Q22" s="2"/>
      <c r="R22" s="7">
        <f t="shared" si="8"/>
        <v>0</v>
      </c>
      <c r="S22" s="2"/>
      <c r="T22" s="6">
        <v>161.12757692307699</v>
      </c>
      <c r="U22" s="2"/>
      <c r="V22" s="7">
        <f t="shared" si="9"/>
        <v>0</v>
      </c>
      <c r="W22" s="2"/>
      <c r="X22" s="6">
        <f t="shared" si="10"/>
        <v>-21.107576923076977</v>
      </c>
      <c r="Y22" s="2"/>
      <c r="Z22" s="7">
        <f t="shared" si="11"/>
        <v>-0.13099915809665422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5567.04</v>
      </c>
      <c r="E23" s="2"/>
      <c r="F23" s="7">
        <f t="shared" si="4"/>
        <v>0</v>
      </c>
      <c r="G23" s="2"/>
      <c r="H23" s="6">
        <v>5415</v>
      </c>
      <c r="I23" s="2"/>
      <c r="J23" s="7">
        <f t="shared" si="5"/>
        <v>0</v>
      </c>
      <c r="K23" s="2"/>
      <c r="L23" s="6">
        <f t="shared" si="6"/>
        <v>152.03999999999996</v>
      </c>
      <c r="M23" s="2"/>
      <c r="N23" s="7">
        <f t="shared" si="7"/>
        <v>2.8077562326869799E-2</v>
      </c>
      <c r="O23" s="11"/>
      <c r="P23" s="6">
        <v>11134.08</v>
      </c>
      <c r="Q23" s="2"/>
      <c r="R23" s="7">
        <f t="shared" si="8"/>
        <v>0</v>
      </c>
      <c r="S23" s="2"/>
      <c r="T23" s="6">
        <v>10830</v>
      </c>
      <c r="U23" s="2"/>
      <c r="V23" s="7">
        <f t="shared" si="9"/>
        <v>0</v>
      </c>
      <c r="W23" s="2"/>
      <c r="X23" s="6">
        <f t="shared" si="10"/>
        <v>304.07999999999993</v>
      </c>
      <c r="Y23" s="2"/>
      <c r="Z23" s="7">
        <f t="shared" si="11"/>
        <v>2.8077562326869799E-2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55.14</v>
      </c>
      <c r="E24" s="2"/>
      <c r="F24" s="7">
        <f t="shared" si="4"/>
        <v>0</v>
      </c>
      <c r="G24" s="2"/>
      <c r="H24" s="6">
        <v>57.923999999999999</v>
      </c>
      <c r="I24" s="2"/>
      <c r="J24" s="7">
        <f t="shared" si="5"/>
        <v>0</v>
      </c>
      <c r="K24" s="2"/>
      <c r="L24" s="6">
        <f t="shared" si="6"/>
        <v>-2.7839999999999989</v>
      </c>
      <c r="M24" s="2"/>
      <c r="N24" s="7">
        <f t="shared" si="7"/>
        <v>-4.8062979076030646E-2</v>
      </c>
      <c r="O24" s="11"/>
      <c r="P24" s="6">
        <v>110.31</v>
      </c>
      <c r="Q24" s="2"/>
      <c r="R24" s="7">
        <f t="shared" si="8"/>
        <v>0</v>
      </c>
      <c r="S24" s="2"/>
      <c r="T24" s="6">
        <v>126.949</v>
      </c>
      <c r="U24" s="2"/>
      <c r="V24" s="7">
        <f t="shared" si="9"/>
        <v>0</v>
      </c>
      <c r="W24" s="2"/>
      <c r="X24" s="6">
        <f t="shared" si="10"/>
        <v>-16.638999999999996</v>
      </c>
      <c r="Y24" s="2"/>
      <c r="Z24" s="7">
        <f t="shared" si="11"/>
        <v>-0.13106838179111294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1978.76</v>
      </c>
      <c r="E25" s="2"/>
      <c r="F25" s="7">
        <f t="shared" si="4"/>
        <v>0</v>
      </c>
      <c r="G25" s="2"/>
      <c r="H25" s="6">
        <v>1826.5076923076901</v>
      </c>
      <c r="I25" s="2"/>
      <c r="J25" s="7">
        <f t="shared" si="5"/>
        <v>0</v>
      </c>
      <c r="K25" s="2"/>
      <c r="L25" s="6">
        <f t="shared" si="6"/>
        <v>152.25230769230984</v>
      </c>
      <c r="M25" s="2"/>
      <c r="N25" s="7">
        <f t="shared" si="7"/>
        <v>8.3357058025826089E-2</v>
      </c>
      <c r="O25" s="11"/>
      <c r="P25" s="6">
        <v>4946.91</v>
      </c>
      <c r="Q25" s="2"/>
      <c r="R25" s="7">
        <f t="shared" si="8"/>
        <v>0</v>
      </c>
      <c r="S25" s="2"/>
      <c r="T25" s="6">
        <v>4109.6423076923093</v>
      </c>
      <c r="U25" s="2"/>
      <c r="V25" s="7">
        <f t="shared" si="9"/>
        <v>0</v>
      </c>
      <c r="W25" s="2"/>
      <c r="X25" s="6">
        <f t="shared" si="10"/>
        <v>837.2676923076906</v>
      </c>
      <c r="Y25" s="2"/>
      <c r="Z25" s="7">
        <f t="shared" si="11"/>
        <v>0.20373249777493219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1559.44</v>
      </c>
      <c r="E27" s="2"/>
      <c r="F27" s="7">
        <f t="shared" si="4"/>
        <v>0</v>
      </c>
      <c r="G27" s="2"/>
      <c r="H27" s="6">
        <v>1061.9230769230799</v>
      </c>
      <c r="I27" s="2"/>
      <c r="J27" s="7">
        <f t="shared" si="5"/>
        <v>0</v>
      </c>
      <c r="K27" s="2"/>
      <c r="L27" s="6">
        <f t="shared" si="6"/>
        <v>497.51692307692019</v>
      </c>
      <c r="M27" s="2"/>
      <c r="N27" s="7">
        <f t="shared" si="7"/>
        <v>0.46850561390800033</v>
      </c>
      <c r="O27" s="11"/>
      <c r="P27" s="6">
        <v>3118.88</v>
      </c>
      <c r="Q27" s="2"/>
      <c r="R27" s="7">
        <f t="shared" si="8"/>
        <v>0</v>
      </c>
      <c r="S27" s="2"/>
      <c r="T27" s="6">
        <v>2389.3269230769301</v>
      </c>
      <c r="U27" s="2"/>
      <c r="V27" s="7">
        <f t="shared" si="9"/>
        <v>0</v>
      </c>
      <c r="W27" s="2"/>
      <c r="X27" s="6">
        <f t="shared" si="10"/>
        <v>729.55307692306997</v>
      </c>
      <c r="Y27" s="2"/>
      <c r="Z27" s="7">
        <f t="shared" si="11"/>
        <v>0.30533832347377782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979.42</v>
      </c>
      <c r="E28" s="2"/>
      <c r="F28" s="7">
        <f t="shared" si="4"/>
        <v>0</v>
      </c>
      <c r="G28" s="2"/>
      <c r="H28" s="6">
        <v>1061.9230769230799</v>
      </c>
      <c r="I28" s="2"/>
      <c r="J28" s="7">
        <f t="shared" si="5"/>
        <v>0</v>
      </c>
      <c r="K28" s="2"/>
      <c r="L28" s="6">
        <f t="shared" si="6"/>
        <v>-82.503076923079902</v>
      </c>
      <c r="M28" s="2"/>
      <c r="N28" s="7">
        <f t="shared" si="7"/>
        <v>-7.7692140528796499E-2</v>
      </c>
      <c r="O28" s="11"/>
      <c r="P28" s="6">
        <v>1958.84</v>
      </c>
      <c r="Q28" s="2"/>
      <c r="R28" s="7">
        <f t="shared" si="8"/>
        <v>0</v>
      </c>
      <c r="S28" s="2"/>
      <c r="T28" s="6">
        <v>2389.3269230769301</v>
      </c>
      <c r="U28" s="2"/>
      <c r="V28" s="7">
        <f t="shared" si="9"/>
        <v>0</v>
      </c>
      <c r="W28" s="2"/>
      <c r="X28" s="6">
        <f t="shared" si="10"/>
        <v>-430.48692307693022</v>
      </c>
      <c r="Y28" s="2"/>
      <c r="Z28" s="7">
        <f t="shared" si="11"/>
        <v>-0.1801707915811526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328.57</v>
      </c>
      <c r="E29" s="2"/>
      <c r="F29" s="7">
        <f t="shared" si="4"/>
        <v>0</v>
      </c>
      <c r="G29" s="2"/>
      <c r="H29" s="6">
        <v>160</v>
      </c>
      <c r="I29" s="2"/>
      <c r="J29" s="7">
        <f t="shared" si="5"/>
        <v>0</v>
      </c>
      <c r="K29" s="2"/>
      <c r="L29" s="6">
        <f t="shared" si="6"/>
        <v>168.57</v>
      </c>
      <c r="M29" s="2"/>
      <c r="N29" s="7">
        <f t="shared" si="7"/>
        <v>1.0535625</v>
      </c>
      <c r="O29" s="11"/>
      <c r="P29" s="6">
        <v>591.42999999999995</v>
      </c>
      <c r="Q29" s="2"/>
      <c r="R29" s="7">
        <f t="shared" si="8"/>
        <v>0</v>
      </c>
      <c r="S29" s="2"/>
      <c r="T29" s="6">
        <v>320</v>
      </c>
      <c r="U29" s="2"/>
      <c r="V29" s="7">
        <f t="shared" si="9"/>
        <v>0</v>
      </c>
      <c r="W29" s="2"/>
      <c r="X29" s="6">
        <f t="shared" si="10"/>
        <v>271.42999999999995</v>
      </c>
      <c r="Y29" s="2"/>
      <c r="Z29" s="7">
        <f t="shared" si="11"/>
        <v>0.8482187499999998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19719.280000000002</v>
      </c>
      <c r="E30" s="1"/>
      <c r="F30" s="5">
        <f t="shared" ref="F30:F40" si="12">IF(D$12=0,0,D30/D$12)</f>
        <v>0</v>
      </c>
      <c r="G30" s="1"/>
      <c r="H30" s="1">
        <f>SUM(OSRRefH22_1x_0)</f>
        <v>20154.61538461543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-435.33538461542776</v>
      </c>
      <c r="M30" s="1"/>
      <c r="N30" s="5">
        <f t="shared" ref="N30:N40" si="15">IF(H30=0,0,L30/H30)</f>
        <v>-2.1599786267701798E-2</v>
      </c>
      <c r="O30" s="14"/>
      <c r="P30" s="1">
        <f>SUM(OSRRefP22_1x_0)</f>
        <v>42695.74</v>
      </c>
      <c r="Q30" s="1"/>
      <c r="R30" s="5">
        <f t="shared" ref="R30:R40" si="16">IF(P$12=0,0,P30/P$12)</f>
        <v>0</v>
      </c>
      <c r="S30" s="1"/>
      <c r="T30" s="1">
        <f>SUM(OSRRefT22_1x_0)</f>
        <v>44047.884615384668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-1352.14461538467</v>
      </c>
      <c r="Y30" s="1"/>
      <c r="Z30" s="5">
        <f t="shared" ref="Z30:Z40" si="19">IF(T30=0,0,X30/T30)</f>
        <v>-3.0697152137753387E-2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5420.7692307692296</v>
      </c>
      <c r="I31" s="2"/>
      <c r="J31" s="7">
        <f t="shared" si="13"/>
        <v>0</v>
      </c>
      <c r="K31" s="2"/>
      <c r="L31" s="6">
        <f t="shared" si="14"/>
        <v>-5420.7692307692296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12196.73076923077</v>
      </c>
      <c r="U31" s="2"/>
      <c r="V31" s="7">
        <f t="shared" si="17"/>
        <v>0</v>
      </c>
      <c r="W31" s="2"/>
      <c r="X31" s="6">
        <f t="shared" si="18"/>
        <v>-12196.73076923077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19633.390000000003</v>
      </c>
      <c r="E32" s="2"/>
      <c r="F32" s="7">
        <f t="shared" si="12"/>
        <v>0</v>
      </c>
      <c r="G32" s="2"/>
      <c r="H32" s="6">
        <v>13693.846153846202</v>
      </c>
      <c r="I32" s="2"/>
      <c r="J32" s="7">
        <f t="shared" si="13"/>
        <v>0</v>
      </c>
      <c r="K32" s="2"/>
      <c r="L32" s="6">
        <f t="shared" si="14"/>
        <v>5939.5438461538015</v>
      </c>
      <c r="M32" s="2"/>
      <c r="N32" s="7">
        <f t="shared" si="15"/>
        <v>0.43373817548589566</v>
      </c>
      <c r="O32" s="11"/>
      <c r="P32" s="6">
        <v>42609.85</v>
      </c>
      <c r="Q32" s="2"/>
      <c r="R32" s="7">
        <f t="shared" si="16"/>
        <v>0</v>
      </c>
      <c r="S32" s="2"/>
      <c r="T32" s="6">
        <v>30811.153846153898</v>
      </c>
      <c r="U32" s="2"/>
      <c r="V32" s="7">
        <f t="shared" si="17"/>
        <v>0</v>
      </c>
      <c r="W32" s="2"/>
      <c r="X32" s="6">
        <f t="shared" si="18"/>
        <v>11798.6961538461</v>
      </c>
      <c r="Y32" s="2"/>
      <c r="Z32" s="7">
        <f t="shared" si="19"/>
        <v>0.38293587487048658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85.89</v>
      </c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85.89</v>
      </c>
      <c r="M37" s="2"/>
      <c r="N37" s="7">
        <f t="shared" si="15"/>
        <v>0</v>
      </c>
      <c r="O37" s="11"/>
      <c r="P37" s="6">
        <v>85.89</v>
      </c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85.89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1040</v>
      </c>
      <c r="I38" s="2"/>
      <c r="J38" s="7">
        <f t="shared" si="13"/>
        <v>0</v>
      </c>
      <c r="K38" s="2"/>
      <c r="L38" s="6">
        <f t="shared" si="14"/>
        <v>-1040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1040</v>
      </c>
      <c r="U38" s="2"/>
      <c r="V38" s="7">
        <f t="shared" si="17"/>
        <v>0</v>
      </c>
      <c r="W38" s="2"/>
      <c r="X38" s="6">
        <f t="shared" si="18"/>
        <v>-1040</v>
      </c>
      <c r="Y38" s="2"/>
      <c r="Z38" s="7">
        <f t="shared" si="19"/>
        <v>-1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9" customFormat="1" outlineLevel="1" collapsed="1" x14ac:dyDescent="0.25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3117.76</v>
      </c>
      <c r="Q41" s="1"/>
      <c r="R41" s="5">
        <f t="shared" ref="R41:R47" si="24">IF(P$12=0,0,P41/P$12)</f>
        <v>0</v>
      </c>
      <c r="S41" s="1"/>
      <c r="T41" s="1">
        <f>SUM(OSRRefT22_2x_0)</f>
        <v>3118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-0.23999999999978172</v>
      </c>
      <c r="Y41" s="1"/>
      <c r="Z41" s="5">
        <f t="shared" ref="Z41:Z47" si="27">IF(T41=0,0,X41/T41)</f>
        <v>-7.6972418216735637E-5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1558.88</v>
      </c>
      <c r="E42" s="2"/>
      <c r="F42" s="7">
        <f t="shared" si="20"/>
        <v>0</v>
      </c>
      <c r="G42" s="2"/>
      <c r="H42" s="6">
        <v>1559</v>
      </c>
      <c r="I42" s="2"/>
      <c r="J42" s="7">
        <f t="shared" si="21"/>
        <v>0</v>
      </c>
      <c r="K42" s="2"/>
      <c r="L42" s="6">
        <f t="shared" si="22"/>
        <v>-0.11999999999989086</v>
      </c>
      <c r="M42" s="2"/>
      <c r="N42" s="7">
        <f t="shared" si="23"/>
        <v>-7.6972418216735637E-5</v>
      </c>
      <c r="O42" s="11"/>
      <c r="P42" s="6">
        <v>3117.76</v>
      </c>
      <c r="Q42" s="2"/>
      <c r="R42" s="7">
        <f t="shared" si="24"/>
        <v>0</v>
      </c>
      <c r="S42" s="2"/>
      <c r="T42" s="6">
        <v>3118</v>
      </c>
      <c r="U42" s="2"/>
      <c r="V42" s="7">
        <f t="shared" si="25"/>
        <v>0</v>
      </c>
      <c r="W42" s="2"/>
      <c r="X42" s="6">
        <f t="shared" si="26"/>
        <v>-0.23999999999978172</v>
      </c>
      <c r="Y42" s="2"/>
      <c r="Z42" s="7">
        <f t="shared" si="27"/>
        <v>-7.6972418216735637E-5</v>
      </c>
    </row>
    <row r="43" spans="1:26" s="29" customFormat="1" outlineLevel="1" collapsed="1" x14ac:dyDescent="0.25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182.52</v>
      </c>
      <c r="Q43" s="1"/>
      <c r="R43" s="5">
        <f t="shared" si="24"/>
        <v>0</v>
      </c>
      <c r="S43" s="1"/>
      <c r="T43" s="1">
        <f>SUM(OSRRefT22_3x_0)</f>
        <v>182</v>
      </c>
      <c r="U43" s="1"/>
      <c r="V43" s="5">
        <f t="shared" si="25"/>
        <v>0</v>
      </c>
      <c r="W43" s="1"/>
      <c r="X43" s="1">
        <f t="shared" si="26"/>
        <v>0.52000000000001023</v>
      </c>
      <c r="Y43" s="1"/>
      <c r="Z43" s="5">
        <f t="shared" si="27"/>
        <v>2.8571428571429135E-3</v>
      </c>
    </row>
    <row r="44" spans="1:26" s="24" customFormat="1" hidden="1" outlineLevel="2" x14ac:dyDescent="0.25">
      <c r="A44" s="27"/>
      <c r="B44" s="11" t="str">
        <f>CONCATENATE("          ", "6351", " - ", "EQUIPMENT RENTAL")</f>
        <v xml:space="preserve">          6351 - EQUIPMENT RENTAL</v>
      </c>
      <c r="C44" s="11"/>
      <c r="D44" s="6">
        <v>91.26</v>
      </c>
      <c r="E44" s="2"/>
      <c r="F44" s="7">
        <f t="shared" si="20"/>
        <v>0</v>
      </c>
      <c r="G44" s="2"/>
      <c r="H44" s="6">
        <v>91</v>
      </c>
      <c r="I44" s="2"/>
      <c r="J44" s="7">
        <f t="shared" si="21"/>
        <v>0</v>
      </c>
      <c r="K44" s="2"/>
      <c r="L44" s="6">
        <f t="shared" si="22"/>
        <v>0.26000000000000512</v>
      </c>
      <c r="M44" s="2"/>
      <c r="N44" s="7">
        <f t="shared" si="23"/>
        <v>2.8571428571429135E-3</v>
      </c>
      <c r="O44" s="11"/>
      <c r="P44" s="6">
        <v>182.52</v>
      </c>
      <c r="Q44" s="2"/>
      <c r="R44" s="7">
        <f t="shared" si="24"/>
        <v>0</v>
      </c>
      <c r="S44" s="2"/>
      <c r="T44" s="6">
        <v>182</v>
      </c>
      <c r="U44" s="2"/>
      <c r="V44" s="7">
        <f t="shared" si="25"/>
        <v>0</v>
      </c>
      <c r="W44" s="2"/>
      <c r="X44" s="6">
        <f t="shared" si="26"/>
        <v>0.52000000000001023</v>
      </c>
      <c r="Y44" s="2"/>
      <c r="Z44" s="7">
        <f t="shared" si="27"/>
        <v>2.8571428571429135E-3</v>
      </c>
    </row>
    <row r="45" spans="1:26" s="29" customFormat="1" outlineLevel="1" collapsed="1" x14ac:dyDescent="0.25">
      <c r="A45" s="28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137.85999999999999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37.859999999999985</v>
      </c>
      <c r="M45" s="1"/>
      <c r="N45" s="5">
        <f t="shared" si="23"/>
        <v>0.37859999999999983</v>
      </c>
      <c r="O45" s="14"/>
      <c r="P45" s="1">
        <f>SUM(OSRRefP22_4x_0)</f>
        <v>218.35999999999999</v>
      </c>
      <c r="Q45" s="1"/>
      <c r="R45" s="5">
        <f t="shared" si="24"/>
        <v>0</v>
      </c>
      <c r="S45" s="1"/>
      <c r="T45" s="1">
        <f>SUM(OSRRefT22_4x_0)</f>
        <v>200</v>
      </c>
      <c r="U45" s="1"/>
      <c r="V45" s="5">
        <f t="shared" si="25"/>
        <v>0</v>
      </c>
      <c r="W45" s="1"/>
      <c r="X45" s="1">
        <f t="shared" si="26"/>
        <v>18.359999999999985</v>
      </c>
      <c r="Y45" s="1"/>
      <c r="Z45" s="5">
        <f t="shared" si="27"/>
        <v>9.1799999999999923E-2</v>
      </c>
    </row>
    <row r="46" spans="1:26" s="24" customFormat="1" hidden="1" outlineLevel="2" x14ac:dyDescent="0.25">
      <c r="A46" s="27"/>
      <c r="B46" s="11" t="str">
        <f>CONCATENATE("          ", "6305", " - ", "FREIGHT OUT")</f>
        <v xml:space="preserve">          6305 - FREIGHT OUT</v>
      </c>
      <c r="C46" s="11"/>
      <c r="D46" s="6">
        <v>5.41</v>
      </c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5.41</v>
      </c>
      <c r="M46" s="2"/>
      <c r="N46" s="7">
        <f t="shared" si="23"/>
        <v>0</v>
      </c>
      <c r="O46" s="11"/>
      <c r="P46" s="6">
        <v>5.41</v>
      </c>
      <c r="Q46" s="2"/>
      <c r="R46" s="7">
        <f t="shared" si="24"/>
        <v>0</v>
      </c>
      <c r="S46" s="2"/>
      <c r="T46" s="6"/>
      <c r="U46" s="2"/>
      <c r="V46" s="7">
        <f t="shared" si="25"/>
        <v>0</v>
      </c>
      <c r="W46" s="2"/>
      <c r="X46" s="6">
        <f t="shared" si="26"/>
        <v>5.41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>
        <v>132.44999999999999</v>
      </c>
      <c r="E47" s="2"/>
      <c r="F47" s="7">
        <f t="shared" si="20"/>
        <v>0</v>
      </c>
      <c r="G47" s="2"/>
      <c r="H47" s="6">
        <v>100</v>
      </c>
      <c r="I47" s="2"/>
      <c r="J47" s="7">
        <f t="shared" si="21"/>
        <v>0</v>
      </c>
      <c r="K47" s="2"/>
      <c r="L47" s="6">
        <f t="shared" si="22"/>
        <v>32.449999999999989</v>
      </c>
      <c r="M47" s="2"/>
      <c r="N47" s="7">
        <f t="shared" si="23"/>
        <v>0.3244999999999999</v>
      </c>
      <c r="O47" s="11"/>
      <c r="P47" s="6">
        <v>212.95</v>
      </c>
      <c r="Q47" s="2"/>
      <c r="R47" s="7">
        <f t="shared" si="24"/>
        <v>0</v>
      </c>
      <c r="S47" s="2"/>
      <c r="T47" s="6">
        <v>200</v>
      </c>
      <c r="U47" s="2"/>
      <c r="V47" s="7">
        <f t="shared" si="25"/>
        <v>0</v>
      </c>
      <c r="W47" s="2"/>
      <c r="X47" s="6">
        <f t="shared" si="26"/>
        <v>12.949999999999989</v>
      </c>
      <c r="Y47" s="2"/>
      <c r="Z47" s="7">
        <f t="shared" si="27"/>
        <v>6.4749999999999946E-2</v>
      </c>
    </row>
    <row r="48" spans="1:26" s="29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264.33999999999997</v>
      </c>
      <c r="Q48" s="1"/>
      <c r="R48" s="5">
        <f t="shared" ref="R48:R54" si="32">IF(P$12=0,0,P48/P$12)</f>
        <v>0</v>
      </c>
      <c r="S48" s="1"/>
      <c r="T48" s="1">
        <f>SUM(OSRRefT22_5x_0)</f>
        <v>290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-25.660000000000025</v>
      </c>
      <c r="Y48" s="1"/>
      <c r="Z48" s="5">
        <f t="shared" ref="Z48:Z54" si="35">IF(T48=0,0,X48/T48)</f>
        <v>-8.8482758620689744E-2</v>
      </c>
    </row>
    <row r="49" spans="1:26" s="24" customFormat="1" hidden="1" outlineLevel="2" x14ac:dyDescent="0.25">
      <c r="A49" s="27"/>
      <c r="B49" s="11" t="str">
        <f>CONCATENATE("          ", "6314", " - ", "LIABILITY INSURANCE")</f>
        <v xml:space="preserve">          6314 - LIABILITY INSURANCE</v>
      </c>
      <c r="C49" s="11"/>
      <c r="D49" s="6">
        <v>132.16999999999999</v>
      </c>
      <c r="E49" s="2"/>
      <c r="F49" s="7">
        <f t="shared" si="28"/>
        <v>0</v>
      </c>
      <c r="G49" s="2"/>
      <c r="H49" s="6">
        <v>145</v>
      </c>
      <c r="I49" s="2"/>
      <c r="J49" s="7">
        <f t="shared" si="29"/>
        <v>0</v>
      </c>
      <c r="K49" s="2"/>
      <c r="L49" s="6">
        <f t="shared" si="30"/>
        <v>-12.830000000000013</v>
      </c>
      <c r="M49" s="2"/>
      <c r="N49" s="7">
        <f t="shared" si="31"/>
        <v>-8.8482758620689744E-2</v>
      </c>
      <c r="O49" s="11"/>
      <c r="P49" s="6">
        <v>264.33999999999997</v>
      </c>
      <c r="Q49" s="2"/>
      <c r="R49" s="7">
        <f t="shared" si="32"/>
        <v>0</v>
      </c>
      <c r="S49" s="2"/>
      <c r="T49" s="6">
        <v>290</v>
      </c>
      <c r="U49" s="2"/>
      <c r="V49" s="7">
        <f t="shared" si="33"/>
        <v>0</v>
      </c>
      <c r="W49" s="2"/>
      <c r="X49" s="6">
        <f t="shared" si="34"/>
        <v>-25.660000000000025</v>
      </c>
      <c r="Y49" s="2"/>
      <c r="Z49" s="7">
        <f t="shared" si="35"/>
        <v>-8.8482758620689744E-2</v>
      </c>
    </row>
    <row r="50" spans="1:26" s="29" customFormat="1" outlineLevel="1" collapsed="1" x14ac:dyDescent="0.25">
      <c r="A50" s="28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500</v>
      </c>
      <c r="U50" s="1"/>
      <c r="V50" s="5">
        <f t="shared" si="33"/>
        <v>0</v>
      </c>
      <c r="W50" s="1"/>
      <c r="X50" s="1">
        <f t="shared" si="34"/>
        <v>-500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28"/>
        <v>0</v>
      </c>
      <c r="G51" s="2"/>
      <c r="H51" s="6">
        <v>250</v>
      </c>
      <c r="I51" s="2"/>
      <c r="J51" s="7">
        <f t="shared" si="29"/>
        <v>0</v>
      </c>
      <c r="K51" s="2"/>
      <c r="L51" s="6">
        <f t="shared" si="30"/>
        <v>-250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500</v>
      </c>
      <c r="U51" s="2"/>
      <c r="V51" s="7">
        <f t="shared" si="33"/>
        <v>0</v>
      </c>
      <c r="W51" s="2"/>
      <c r="X51" s="6">
        <f t="shared" si="34"/>
        <v>-500</v>
      </c>
      <c r="Y51" s="2"/>
      <c r="Z51" s="7">
        <f t="shared" si="35"/>
        <v>-1</v>
      </c>
    </row>
    <row r="52" spans="1:26" s="29" customFormat="1" outlineLevel="1" collapsed="1" x14ac:dyDescent="0.25">
      <c r="A52" s="28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266.2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206.2</v>
      </c>
      <c r="M52" s="1"/>
      <c r="N52" s="5">
        <f t="shared" si="31"/>
        <v>3.4366666666666665</v>
      </c>
      <c r="O52" s="14"/>
      <c r="P52" s="1">
        <f>SUM(OSRRefP22_7x_0)</f>
        <v>336.03999999999996</v>
      </c>
      <c r="Q52" s="1"/>
      <c r="R52" s="5">
        <f t="shared" si="32"/>
        <v>0</v>
      </c>
      <c r="S52" s="1"/>
      <c r="T52" s="1">
        <f>SUM(OSRRefT22_7x_0)</f>
        <v>120</v>
      </c>
      <c r="U52" s="1"/>
      <c r="V52" s="5">
        <f t="shared" si="33"/>
        <v>0</v>
      </c>
      <c r="W52" s="1"/>
      <c r="X52" s="1">
        <f t="shared" si="34"/>
        <v>216.03999999999996</v>
      </c>
      <c r="Y52" s="1"/>
      <c r="Z52" s="5">
        <f t="shared" si="35"/>
        <v>1.8003333333333331</v>
      </c>
    </row>
    <row r="53" spans="1:26" s="24" customFormat="1" hidden="1" outlineLevel="2" x14ac:dyDescent="0.25">
      <c r="A53" s="27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266.2</v>
      </c>
      <c r="E53" s="2"/>
      <c r="F53" s="7">
        <f t="shared" si="28"/>
        <v>0</v>
      </c>
      <c r="G53" s="2"/>
      <c r="H53" s="6">
        <v>60</v>
      </c>
      <c r="I53" s="2"/>
      <c r="J53" s="7">
        <f t="shared" si="29"/>
        <v>0</v>
      </c>
      <c r="K53" s="2"/>
      <c r="L53" s="6">
        <f t="shared" si="30"/>
        <v>206.2</v>
      </c>
      <c r="M53" s="2"/>
      <c r="N53" s="7">
        <f t="shared" si="31"/>
        <v>3.4366666666666665</v>
      </c>
      <c r="O53" s="11"/>
      <c r="P53" s="6">
        <v>326.14999999999998</v>
      </c>
      <c r="Q53" s="2"/>
      <c r="R53" s="7">
        <f t="shared" si="32"/>
        <v>0</v>
      </c>
      <c r="S53" s="2"/>
      <c r="T53" s="6">
        <v>120</v>
      </c>
      <c r="U53" s="2"/>
      <c r="V53" s="7">
        <f t="shared" si="33"/>
        <v>0</v>
      </c>
      <c r="W53" s="2"/>
      <c r="X53" s="6">
        <f t="shared" si="34"/>
        <v>206.14999999999998</v>
      </c>
      <c r="Y53" s="2"/>
      <c r="Z53" s="7">
        <f t="shared" si="35"/>
        <v>1.7179166666666665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9.89</v>
      </c>
      <c r="Q54" s="2"/>
      <c r="R54" s="7">
        <f t="shared" si="32"/>
        <v>0</v>
      </c>
      <c r="S54" s="2"/>
      <c r="T54" s="6"/>
      <c r="U54" s="2"/>
      <c r="V54" s="7">
        <f t="shared" si="33"/>
        <v>0</v>
      </c>
      <c r="W54" s="2"/>
      <c r="X54" s="6">
        <f t="shared" si="34"/>
        <v>9.89</v>
      </c>
      <c r="Y54" s="2"/>
      <c r="Z54" s="7">
        <f t="shared" si="35"/>
        <v>0</v>
      </c>
    </row>
    <row r="55" spans="1:26" s="29" customFormat="1" outlineLevel="1" collapsed="1" x14ac:dyDescent="0.25">
      <c r="A55" s="28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-500</v>
      </c>
      <c r="M55" s="1"/>
      <c r="N55" s="5">
        <f t="shared" ref="N55:N60" si="39">IF(H55=0,0,L55/H55)</f>
        <v>-1</v>
      </c>
      <c r="O55" s="14"/>
      <c r="P55" s="1">
        <f>SUM(OSRRefP22_8x_0)</f>
        <v>512.48</v>
      </c>
      <c r="Q55" s="1"/>
      <c r="R55" s="5">
        <f t="shared" ref="R55:R60" si="40">IF(P$12=0,0,P55/P$12)</f>
        <v>0</v>
      </c>
      <c r="S55" s="1"/>
      <c r="T55" s="1">
        <f>SUM(OSRRefT22_8x_0)</f>
        <v>1000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-487.52</v>
      </c>
      <c r="Y55" s="1"/>
      <c r="Z55" s="5">
        <f t="shared" ref="Z55:Z60" si="43">IF(T55=0,0,X55/T55)</f>
        <v>-0.48752000000000001</v>
      </c>
    </row>
    <row r="56" spans="1:26" s="24" customFormat="1" hidden="1" outlineLevel="2" x14ac:dyDescent="0.25">
      <c r="A56" s="27"/>
      <c r="B56" s="11" t="str">
        <f>CONCATENATE("          ", "6281", " - ", "STORAGE FEE")</f>
        <v xml:space="preserve">          6281 - STORAGE FEE</v>
      </c>
      <c r="C56" s="11"/>
      <c r="D56" s="6"/>
      <c r="E56" s="2"/>
      <c r="F56" s="7">
        <f t="shared" si="36"/>
        <v>0</v>
      </c>
      <c r="G56" s="2"/>
      <c r="H56" s="6">
        <v>500</v>
      </c>
      <c r="I56" s="2"/>
      <c r="J56" s="7">
        <f t="shared" si="37"/>
        <v>0</v>
      </c>
      <c r="K56" s="2"/>
      <c r="L56" s="6">
        <f t="shared" si="38"/>
        <v>-500</v>
      </c>
      <c r="M56" s="2"/>
      <c r="N56" s="7">
        <f t="shared" si="39"/>
        <v>-1</v>
      </c>
      <c r="O56" s="11"/>
      <c r="P56" s="6">
        <v>512.48</v>
      </c>
      <c r="Q56" s="2"/>
      <c r="R56" s="7">
        <f t="shared" si="40"/>
        <v>0</v>
      </c>
      <c r="S56" s="2"/>
      <c r="T56" s="6">
        <v>1000</v>
      </c>
      <c r="U56" s="2"/>
      <c r="V56" s="7">
        <f t="shared" si="41"/>
        <v>0</v>
      </c>
      <c r="W56" s="2"/>
      <c r="X56" s="6">
        <f t="shared" si="42"/>
        <v>-487.52</v>
      </c>
      <c r="Y56" s="2"/>
      <c r="Z56" s="7">
        <f t="shared" si="43"/>
        <v>-0.48752000000000001</v>
      </c>
    </row>
    <row r="57" spans="1:26" s="29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96.12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-103.88</v>
      </c>
      <c r="M57" s="1"/>
      <c r="N57" s="5">
        <f t="shared" si="39"/>
        <v>-0.51939999999999997</v>
      </c>
      <c r="O57" s="14"/>
      <c r="P57" s="1">
        <f>SUM(OSRRefP22_9x_0)</f>
        <v>558.06000000000006</v>
      </c>
      <c r="Q57" s="1"/>
      <c r="R57" s="5">
        <f t="shared" si="40"/>
        <v>0</v>
      </c>
      <c r="S57" s="1"/>
      <c r="T57" s="1">
        <f>SUM(OSRRefT22_9x_0)</f>
        <v>9984</v>
      </c>
      <c r="U57" s="1"/>
      <c r="V57" s="5">
        <f t="shared" si="41"/>
        <v>0</v>
      </c>
      <c r="W57" s="1"/>
      <c r="X57" s="1">
        <f t="shared" si="42"/>
        <v>-9425.94</v>
      </c>
      <c r="Y57" s="1"/>
      <c r="Z57" s="5">
        <f t="shared" si="43"/>
        <v>-0.94410456730769232</v>
      </c>
    </row>
    <row r="58" spans="1:26" s="24" customFormat="1" hidden="1" outlineLevel="2" x14ac:dyDescent="0.25">
      <c r="A58" s="27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9584</v>
      </c>
      <c r="U58" s="2"/>
      <c r="V58" s="7">
        <f t="shared" si="41"/>
        <v>0</v>
      </c>
      <c r="W58" s="2"/>
      <c r="X58" s="6">
        <f t="shared" si="42"/>
        <v>-9584</v>
      </c>
      <c r="Y58" s="2"/>
      <c r="Z58" s="7">
        <f t="shared" si="43"/>
        <v>-1</v>
      </c>
    </row>
    <row r="59" spans="1:26" s="24" customFormat="1" hidden="1" outlineLevel="2" x14ac:dyDescent="0.25">
      <c r="A59" s="27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426.66</v>
      </c>
      <c r="Q59" s="2"/>
      <c r="R59" s="7">
        <f t="shared" si="40"/>
        <v>0</v>
      </c>
      <c r="S59" s="2"/>
      <c r="T59" s="6"/>
      <c r="U59" s="2"/>
      <c r="V59" s="7">
        <f t="shared" si="41"/>
        <v>0</v>
      </c>
      <c r="W59" s="2"/>
      <c r="X59" s="6">
        <f t="shared" si="42"/>
        <v>426.66</v>
      </c>
      <c r="Y59" s="2"/>
      <c r="Z59" s="7">
        <f t="shared" si="43"/>
        <v>0</v>
      </c>
    </row>
    <row r="60" spans="1:26" s="24" customFormat="1" hidden="1" outlineLevel="2" x14ac:dyDescent="0.25">
      <c r="A60" s="27"/>
      <c r="B60" s="11" t="str">
        <f>CONCATENATE("          ", "6241", " - ", "OFFICE EXPENSE")</f>
        <v xml:space="preserve">          6241 - OFFICE EXPENSE</v>
      </c>
      <c r="C60" s="11"/>
      <c r="D60" s="6">
        <v>96.12</v>
      </c>
      <c r="E60" s="2"/>
      <c r="F60" s="7">
        <f t="shared" si="36"/>
        <v>0</v>
      </c>
      <c r="G60" s="2"/>
      <c r="H60" s="6">
        <v>200</v>
      </c>
      <c r="I60" s="2"/>
      <c r="J60" s="7">
        <f t="shared" si="37"/>
        <v>0</v>
      </c>
      <c r="K60" s="2"/>
      <c r="L60" s="6">
        <f t="shared" si="38"/>
        <v>-103.88</v>
      </c>
      <c r="M60" s="2"/>
      <c r="N60" s="7">
        <f t="shared" si="39"/>
        <v>-0.51939999999999997</v>
      </c>
      <c r="O60" s="11"/>
      <c r="P60" s="6">
        <v>131.4</v>
      </c>
      <c r="Q60" s="2"/>
      <c r="R60" s="7">
        <f t="shared" si="40"/>
        <v>0</v>
      </c>
      <c r="S60" s="2"/>
      <c r="T60" s="6">
        <v>400</v>
      </c>
      <c r="U60" s="2"/>
      <c r="V60" s="7">
        <f t="shared" si="41"/>
        <v>0</v>
      </c>
      <c r="W60" s="2"/>
      <c r="X60" s="6">
        <f t="shared" si="42"/>
        <v>-268.60000000000002</v>
      </c>
      <c r="Y60" s="2"/>
      <c r="Z60" s="7">
        <f t="shared" si="43"/>
        <v>-0.6715000000000001</v>
      </c>
    </row>
    <row r="61" spans="1:26" s="29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420.15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45.149999999999977</v>
      </c>
      <c r="M61" s="1"/>
      <c r="N61" s="5">
        <f t="shared" ref="N61:N66" si="47">IF(H61=0,0,L61/H61)</f>
        <v>0.12039999999999994</v>
      </c>
      <c r="O61" s="14"/>
      <c r="P61" s="1">
        <f>SUM(OSRRefP22_10x_0)</f>
        <v>841.45</v>
      </c>
      <c r="Q61" s="1"/>
      <c r="R61" s="5">
        <f t="shared" ref="R61:R66" si="48">IF(P$12=0,0,P61/P$12)</f>
        <v>0</v>
      </c>
      <c r="S61" s="1"/>
      <c r="T61" s="1">
        <f>SUM(OSRRefT22_10x_0)</f>
        <v>750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91.450000000000045</v>
      </c>
      <c r="Y61" s="1"/>
      <c r="Z61" s="5">
        <f t="shared" ref="Z61:Z66" si="51">IF(T61=0,0,X61/T61)</f>
        <v>0.12193333333333339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6">
        <v>420.15</v>
      </c>
      <c r="E62" s="2"/>
      <c r="F62" s="7">
        <f t="shared" si="44"/>
        <v>0</v>
      </c>
      <c r="G62" s="2"/>
      <c r="H62" s="6">
        <v>375</v>
      </c>
      <c r="I62" s="2"/>
      <c r="J62" s="7">
        <f t="shared" si="45"/>
        <v>0</v>
      </c>
      <c r="K62" s="2"/>
      <c r="L62" s="6">
        <f t="shared" si="46"/>
        <v>45.149999999999977</v>
      </c>
      <c r="M62" s="2"/>
      <c r="N62" s="7">
        <f t="shared" si="47"/>
        <v>0.12039999999999994</v>
      </c>
      <c r="O62" s="11"/>
      <c r="P62" s="6">
        <v>841.45</v>
      </c>
      <c r="Q62" s="2"/>
      <c r="R62" s="7">
        <f t="shared" si="48"/>
        <v>0</v>
      </c>
      <c r="S62" s="2"/>
      <c r="T62" s="6">
        <v>750</v>
      </c>
      <c r="U62" s="2"/>
      <c r="V62" s="7">
        <f t="shared" si="49"/>
        <v>0</v>
      </c>
      <c r="W62" s="2"/>
      <c r="X62" s="6">
        <f t="shared" si="50"/>
        <v>91.450000000000045</v>
      </c>
      <c r="Y62" s="2"/>
      <c r="Z62" s="7">
        <f t="shared" si="51"/>
        <v>0.12193333333333339</v>
      </c>
    </row>
    <row r="63" spans="1:26" s="29" customFormat="1" outlineLevel="1" collapsed="1" x14ac:dyDescent="0.25">
      <c r="A63" s="28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0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-250</v>
      </c>
      <c r="M63" s="1"/>
      <c r="N63" s="5">
        <f t="shared" si="47"/>
        <v>-1</v>
      </c>
      <c r="O63" s="14"/>
      <c r="P63" s="1">
        <f>SUM(OSRRefP22_11x_0)</f>
        <v>0</v>
      </c>
      <c r="Q63" s="1"/>
      <c r="R63" s="5">
        <f t="shared" si="48"/>
        <v>0</v>
      </c>
      <c r="S63" s="1"/>
      <c r="T63" s="1">
        <f>SUM(OSRRefT22_11x_0)</f>
        <v>250</v>
      </c>
      <c r="U63" s="1"/>
      <c r="V63" s="5">
        <f t="shared" si="49"/>
        <v>0</v>
      </c>
      <c r="W63" s="1"/>
      <c r="X63" s="1">
        <f t="shared" si="50"/>
        <v>-250</v>
      </c>
      <c r="Y63" s="1"/>
      <c r="Z63" s="5">
        <f t="shared" si="51"/>
        <v>-1</v>
      </c>
    </row>
    <row r="64" spans="1:26" s="24" customFormat="1" hidden="1" outlineLevel="2" x14ac:dyDescent="0.25">
      <c r="A64" s="27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44"/>
        <v>0</v>
      </c>
      <c r="G64" s="2"/>
      <c r="H64" s="6">
        <v>250</v>
      </c>
      <c r="I64" s="2"/>
      <c r="J64" s="7">
        <f t="shared" si="45"/>
        <v>0</v>
      </c>
      <c r="K64" s="2"/>
      <c r="L64" s="6">
        <f t="shared" si="46"/>
        <v>-250</v>
      </c>
      <c r="M64" s="2"/>
      <c r="N64" s="7">
        <f t="shared" si="47"/>
        <v>-1</v>
      </c>
      <c r="O64" s="11"/>
      <c r="P64" s="6"/>
      <c r="Q64" s="2"/>
      <c r="R64" s="7">
        <f t="shared" si="48"/>
        <v>0</v>
      </c>
      <c r="S64" s="2"/>
      <c r="T64" s="6">
        <v>250</v>
      </c>
      <c r="U64" s="2"/>
      <c r="V64" s="7">
        <f t="shared" si="49"/>
        <v>0</v>
      </c>
      <c r="W64" s="2"/>
      <c r="X64" s="6">
        <f t="shared" si="50"/>
        <v>-250</v>
      </c>
      <c r="Y64" s="2"/>
      <c r="Z64" s="7">
        <f t="shared" si="51"/>
        <v>-1</v>
      </c>
    </row>
    <row r="65" spans="1:26" s="29" customFormat="1" outlineLevel="1" collapsed="1" x14ac:dyDescent="0.25">
      <c r="A65" s="28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7.8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7.8</v>
      </c>
      <c r="M65" s="1"/>
      <c r="N65" s="5">
        <f t="shared" si="47"/>
        <v>0</v>
      </c>
      <c r="O65" s="14"/>
      <c r="P65" s="1">
        <f>SUM(OSRRefP22_12x_0)</f>
        <v>17.55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17.55</v>
      </c>
      <c r="Y65" s="1"/>
      <c r="Z65" s="5">
        <f t="shared" si="51"/>
        <v>0</v>
      </c>
    </row>
    <row r="66" spans="1:26" s="24" customFormat="1" hidden="1" outlineLevel="2" x14ac:dyDescent="0.25">
      <c r="A66" s="27"/>
      <c r="B66" s="11" t="str">
        <f>CONCATENATE("          ", "6294", " - ", "TRAVEL OPERATIONAL")</f>
        <v xml:space="preserve">          6294 - TRAVEL OPERATIONAL</v>
      </c>
      <c r="C66" s="11"/>
      <c r="D66" s="6">
        <v>7.8</v>
      </c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7.8</v>
      </c>
      <c r="M66" s="2"/>
      <c r="N66" s="7">
        <f t="shared" si="47"/>
        <v>0</v>
      </c>
      <c r="O66" s="11"/>
      <c r="P66" s="6">
        <v>17.55</v>
      </c>
      <c r="Q66" s="2"/>
      <c r="R66" s="7">
        <f t="shared" si="48"/>
        <v>0</v>
      </c>
      <c r="S66" s="2"/>
      <c r="T66" s="6"/>
      <c r="U66" s="2"/>
      <c r="V66" s="7">
        <f t="shared" si="49"/>
        <v>0</v>
      </c>
      <c r="W66" s="2"/>
      <c r="X66" s="6">
        <f t="shared" si="50"/>
        <v>17.55</v>
      </c>
      <c r="Y66" s="2"/>
      <c r="Z66" s="7">
        <f t="shared" si="51"/>
        <v>0</v>
      </c>
    </row>
    <row r="67" spans="1:26" s="61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2" customFormat="1" collapsed="1" x14ac:dyDescent="0.25">
      <c r="A68" s="10"/>
      <c r="B68" s="25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3">
        <f t="shared" si="52"/>
        <v>0</v>
      </c>
      <c r="G69" s="2"/>
      <c r="H69" s="2">
        <v>0</v>
      </c>
      <c r="I69" s="2"/>
      <c r="J69" s="23">
        <f t="shared" si="53"/>
        <v>0</v>
      </c>
      <c r="K69" s="2"/>
      <c r="L69" s="2">
        <f t="shared" si="54"/>
        <v>0</v>
      </c>
      <c r="M69" s="2"/>
      <c r="N69" s="23">
        <f t="shared" si="55"/>
        <v>0</v>
      </c>
      <c r="O69" s="11"/>
      <c r="P69" s="2">
        <f t="shared" ref="P69:P71" si="61">0</f>
        <v>0</v>
      </c>
      <c r="Q69" s="2"/>
      <c r="R69" s="23">
        <f t="shared" si="56"/>
        <v>0</v>
      </c>
      <c r="S69" s="2"/>
      <c r="T69" s="2">
        <v>0</v>
      </c>
      <c r="U69" s="2"/>
      <c r="V69" s="23">
        <f t="shared" si="57"/>
        <v>0</v>
      </c>
      <c r="W69" s="2"/>
      <c r="X69" s="2">
        <f t="shared" si="58"/>
        <v>0</v>
      </c>
      <c r="Y69" s="2"/>
      <c r="Z69" s="23">
        <f t="shared" si="59"/>
        <v>0</v>
      </c>
    </row>
    <row r="70" spans="1:26" s="24" customFormat="1" hidden="1" outlineLevel="1" x14ac:dyDescent="0.2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3">
        <f t="shared" si="52"/>
        <v>0</v>
      </c>
      <c r="G70" s="2"/>
      <c r="H70" s="2">
        <v>0</v>
      </c>
      <c r="I70" s="2"/>
      <c r="J70" s="23">
        <f t="shared" si="53"/>
        <v>0</v>
      </c>
      <c r="K70" s="2"/>
      <c r="L70" s="2">
        <f t="shared" si="54"/>
        <v>0</v>
      </c>
      <c r="M70" s="2"/>
      <c r="N70" s="23">
        <f t="shared" si="55"/>
        <v>0</v>
      </c>
      <c r="O70" s="11"/>
      <c r="P70" s="2">
        <f t="shared" si="61"/>
        <v>0</v>
      </c>
      <c r="Q70" s="2"/>
      <c r="R70" s="23">
        <f t="shared" si="56"/>
        <v>0</v>
      </c>
      <c r="S70" s="2"/>
      <c r="T70" s="2">
        <v>0</v>
      </c>
      <c r="U70" s="2"/>
      <c r="V70" s="23">
        <f t="shared" si="57"/>
        <v>0</v>
      </c>
      <c r="W70" s="2"/>
      <c r="X70" s="2">
        <f t="shared" si="58"/>
        <v>0</v>
      </c>
      <c r="Y70" s="2"/>
      <c r="Z70" s="23">
        <f t="shared" si="59"/>
        <v>0</v>
      </c>
    </row>
    <row r="71" spans="1:26" s="24" customFormat="1" hidden="1" outlineLevel="1" x14ac:dyDescent="0.2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3">
        <f t="shared" si="52"/>
        <v>0</v>
      </c>
      <c r="G71" s="2"/>
      <c r="H71" s="2">
        <v>0</v>
      </c>
      <c r="I71" s="2"/>
      <c r="J71" s="23">
        <f t="shared" si="53"/>
        <v>0</v>
      </c>
      <c r="K71" s="2"/>
      <c r="L71" s="2">
        <f t="shared" si="54"/>
        <v>0</v>
      </c>
      <c r="M71" s="2"/>
      <c r="N71" s="23">
        <f t="shared" si="55"/>
        <v>0</v>
      </c>
      <c r="O71" s="11"/>
      <c r="P71" s="2">
        <f t="shared" si="61"/>
        <v>0</v>
      </c>
      <c r="Q71" s="2"/>
      <c r="R71" s="23">
        <f t="shared" si="56"/>
        <v>0</v>
      </c>
      <c r="S71" s="2"/>
      <c r="T71" s="2">
        <v>0</v>
      </c>
      <c r="U71" s="2"/>
      <c r="V71" s="23">
        <f t="shared" si="57"/>
        <v>0</v>
      </c>
      <c r="W71" s="2"/>
      <c r="X71" s="2">
        <f t="shared" si="58"/>
        <v>0</v>
      </c>
      <c r="Y71" s="2"/>
      <c r="Z71" s="23">
        <f t="shared" si="59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2" customFormat="1" x14ac:dyDescent="0.25">
      <c r="A73" s="10"/>
      <c r="B73" s="26" t="s">
        <v>3</v>
      </c>
      <c r="C73" s="26"/>
      <c r="D73" s="21">
        <f>+D17-D19+D68</f>
        <v>-34593.850000000006</v>
      </c>
      <c r="E73" s="13"/>
      <c r="F73" s="20">
        <f>IF(D$12=0,0,D73/D$12)</f>
        <v>0</v>
      </c>
      <c r="G73" s="13"/>
      <c r="H73" s="21">
        <f>+H17-H19+H68</f>
        <v>-34966.791615384667</v>
      </c>
      <c r="I73" s="13"/>
      <c r="J73" s="20">
        <f>IF(H$12=0,0,H73/H$12)</f>
        <v>0</v>
      </c>
      <c r="K73" s="16"/>
      <c r="L73" s="21">
        <f>+D73-H73</f>
        <v>372.94161538466142</v>
      </c>
      <c r="M73" s="16"/>
      <c r="N73" s="20">
        <f>IF(H73=0,0,L73/H73)</f>
        <v>-1.0665594358407615E-2</v>
      </c>
      <c r="O73" s="25"/>
      <c r="P73" s="21">
        <f>+P17-P19+P68</f>
        <v>-73991.889999999985</v>
      </c>
      <c r="Q73" s="13"/>
      <c r="R73" s="20">
        <f>IF(P$12=0,0,P73/P$12)</f>
        <v>0</v>
      </c>
      <c r="S73" s="13"/>
      <c r="T73" s="21">
        <f>+T17-T19+T68</f>
        <v>-84425.36113461545</v>
      </c>
      <c r="U73" s="13"/>
      <c r="V73" s="20">
        <f>IF(T$12=0,0,T73/T$12)</f>
        <v>0</v>
      </c>
      <c r="W73" s="16"/>
      <c r="X73" s="21">
        <f>+P73-T73</f>
        <v>10433.471134615465</v>
      </c>
      <c r="Y73" s="16"/>
      <c r="Z73" s="20">
        <f>IF(T73=0,0,X73/T73)</f>
        <v>-0.12358219135100167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2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2" customFormat="1" ht="15.75" thickBot="1" x14ac:dyDescent="0.3">
      <c r="A77" s="10"/>
      <c r="B77" s="26" t="s">
        <v>4</v>
      </c>
      <c r="C77" s="26"/>
      <c r="D77" s="33">
        <f>+D73-D75</f>
        <v>-34593.850000000006</v>
      </c>
      <c r="E77" s="13"/>
      <c r="F77" s="31">
        <f>IF(D$12=0,0,D77/D$12)</f>
        <v>0</v>
      </c>
      <c r="G77" s="13"/>
      <c r="H77" s="33">
        <f>+H73-H75</f>
        <v>-34966.791615384667</v>
      </c>
      <c r="I77" s="13"/>
      <c r="J77" s="31">
        <f>IF(H$12=0,0,H77/H$12)</f>
        <v>0</v>
      </c>
      <c r="K77" s="16"/>
      <c r="L77" s="33">
        <f>D77-H77</f>
        <v>372.94161538466142</v>
      </c>
      <c r="M77" s="16"/>
      <c r="N77" s="31">
        <f>IF(H77=0,0,L77/H77)</f>
        <v>-1.0665594358407615E-2</v>
      </c>
      <c r="O77" s="25"/>
      <c r="P77" s="33">
        <f>+P73-P75</f>
        <v>-73991.889999999985</v>
      </c>
      <c r="Q77" s="13"/>
      <c r="R77" s="31">
        <f>IF(P$12=0,0,P77/P$12)</f>
        <v>0</v>
      </c>
      <c r="S77" s="13"/>
      <c r="T77" s="33">
        <f>+T73-T75</f>
        <v>-84425.36113461545</v>
      </c>
      <c r="U77" s="13"/>
      <c r="V77" s="31">
        <f>IF(T$12=0,0,T77/T$12)</f>
        <v>0</v>
      </c>
      <c r="W77" s="16"/>
      <c r="X77" s="33">
        <f>P77-T77</f>
        <v>10433.471134615465</v>
      </c>
      <c r="Y77" s="16"/>
      <c r="Z77" s="31">
        <f>IF(T77=0,0,X77/T77)</f>
        <v>-0.12358219135100167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ht="15.75" thickBot="1" x14ac:dyDescent="0.3">
      <c r="A80" s="10"/>
      <c r="B80" s="26" t="s">
        <v>5</v>
      </c>
      <c r="C80" s="26"/>
      <c r="D80" s="32">
        <f>SUM(D77:D79)</f>
        <v>-34593.850000000006</v>
      </c>
      <c r="E80" s="13"/>
      <c r="F80" s="35">
        <f>IF(D$12=0,0,D80/D$12)</f>
        <v>0</v>
      </c>
      <c r="G80" s="13"/>
      <c r="H80" s="32">
        <f>SUM(H77:H79)</f>
        <v>-34966.791615384667</v>
      </c>
      <c r="I80" s="13"/>
      <c r="J80" s="35">
        <f>IF(H$12=0,0,H80/H$12)</f>
        <v>0</v>
      </c>
      <c r="K80" s="16"/>
      <c r="L80" s="32">
        <f>+D80-H80</f>
        <v>372.94161538466142</v>
      </c>
      <c r="M80" s="16"/>
      <c r="N80" s="35">
        <f>IF(H80=0,0,L80/H80)</f>
        <v>-1.0665594358407615E-2</v>
      </c>
      <c r="O80" s="25"/>
      <c r="P80" s="32">
        <f>SUM(P77:P79)</f>
        <v>-73991.889999999985</v>
      </c>
      <c r="Q80" s="13"/>
      <c r="R80" s="35">
        <f>IF(P$12=0,0,P80/P$12)</f>
        <v>0</v>
      </c>
      <c r="S80" s="13"/>
      <c r="T80" s="32">
        <f>SUM(T77:T79)</f>
        <v>-84425.36113461545</v>
      </c>
      <c r="U80" s="13"/>
      <c r="V80" s="35">
        <f>IF(T$12=0,0,T80/T$12)</f>
        <v>0</v>
      </c>
      <c r="W80" s="16"/>
      <c r="X80" s="32">
        <f>+P80-T80</f>
        <v>10433.471134615465</v>
      </c>
      <c r="Y80" s="16"/>
      <c r="Z80" s="35">
        <f>IF(T80=0,0,X80/T80)</f>
        <v>-0.12358219135100167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9">
        <v>44113.689212696758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 t="s">
        <v>314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3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","203", " - ", "Human Resources")</f>
        <v>Department 203 - Human Resources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41292.079999999994</v>
      </c>
      <c r="E18" s="19"/>
      <c r="F18" s="30">
        <f t="shared" ref="F18:F29" si="0">IF(D$12=0,0,D18/D$12)</f>
        <v>0</v>
      </c>
      <c r="G18" s="19"/>
      <c r="H18" s="19">
        <f>SUM(OSRRefH22x_0)</f>
        <v>49905.525784615391</v>
      </c>
      <c r="I18" s="19"/>
      <c r="J18" s="30">
        <f t="shared" ref="J18:J29" si="1">IF(H$12=0,0,H18/H$12)</f>
        <v>0</v>
      </c>
      <c r="K18" s="4"/>
      <c r="L18" s="19">
        <f t="shared" ref="L18:L29" si="2">+D18-H18</f>
        <v>-8613.4457846153964</v>
      </c>
      <c r="M18" s="4"/>
      <c r="N18" s="30">
        <f t="shared" ref="N18:N29" si="3">IF(H18=0,0,L18/H18)</f>
        <v>-0.17259503129552647</v>
      </c>
      <c r="O18" s="10"/>
      <c r="P18" s="19">
        <f>SUM(OSRRefP22x_0)</f>
        <v>92335.590000000011</v>
      </c>
      <c r="Q18" s="19"/>
      <c r="R18" s="30">
        <f t="shared" ref="R18:R29" si="4">IF(P$12=0,0,P18/P$12)</f>
        <v>0</v>
      </c>
      <c r="S18" s="19"/>
      <c r="T18" s="19">
        <f>SUM(OSRRefT22x_0)</f>
        <v>109018.68301538465</v>
      </c>
      <c r="U18" s="19"/>
      <c r="V18" s="30">
        <f t="shared" ref="V18:V29" si="5">IF(T$12=0,0,T18/T$12)</f>
        <v>0</v>
      </c>
      <c r="W18" s="4"/>
      <c r="X18" s="19">
        <f t="shared" ref="X18:X29" si="6">+P18-T18</f>
        <v>-16683.093015384642</v>
      </c>
      <c r="Y18" s="4"/>
      <c r="Z18" s="30">
        <f t="shared" ref="Z18:Z29" si="7">IF(T18=0,0,X18/T18)</f>
        <v>-0.1530296693552089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11866.3</v>
      </c>
      <c r="E19" s="1"/>
      <c r="F19" s="5">
        <f t="shared" si="0"/>
        <v>0</v>
      </c>
      <c r="G19" s="1"/>
      <c r="H19" s="1">
        <f>SUM(OSRRefH22_0x_0)</f>
        <v>10515.895015384624</v>
      </c>
      <c r="I19" s="1"/>
      <c r="J19" s="5">
        <f t="shared" si="1"/>
        <v>0</v>
      </c>
      <c r="K19" s="1"/>
      <c r="L19" s="1">
        <f t="shared" si="2"/>
        <v>1350.4049846153757</v>
      </c>
      <c r="M19" s="1"/>
      <c r="N19" s="5">
        <f t="shared" si="3"/>
        <v>0.1284156015859563</v>
      </c>
      <c r="O19" s="14"/>
      <c r="P19" s="1">
        <f>SUM(OSRRefP22_0x_0)</f>
        <v>24378.090000000004</v>
      </c>
      <c r="Q19" s="1"/>
      <c r="R19" s="5">
        <f t="shared" si="4"/>
        <v>0</v>
      </c>
      <c r="S19" s="1"/>
      <c r="T19" s="1">
        <f>SUM(OSRRefT22_0x_0)</f>
        <v>23034.513784615392</v>
      </c>
      <c r="U19" s="1"/>
      <c r="V19" s="5">
        <f t="shared" si="5"/>
        <v>0</v>
      </c>
      <c r="W19" s="1"/>
      <c r="X19" s="1">
        <f t="shared" si="6"/>
        <v>1343.5762153846117</v>
      </c>
      <c r="Y19" s="1"/>
      <c r="Z19" s="5">
        <f t="shared" si="7"/>
        <v>5.8328828988870512E-2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1951.62</v>
      </c>
      <c r="E20" s="2"/>
      <c r="F20" s="7">
        <f t="shared" si="0"/>
        <v>0</v>
      </c>
      <c r="G20" s="2"/>
      <c r="H20" s="6">
        <v>1518.5906769230799</v>
      </c>
      <c r="I20" s="2"/>
      <c r="J20" s="7">
        <f t="shared" si="1"/>
        <v>0</v>
      </c>
      <c r="K20" s="2"/>
      <c r="L20" s="6">
        <f t="shared" si="2"/>
        <v>433.02932307692004</v>
      </c>
      <c r="M20" s="2"/>
      <c r="N20" s="7">
        <f t="shared" si="3"/>
        <v>0.28515210165408778</v>
      </c>
      <c r="O20" s="11"/>
      <c r="P20" s="6">
        <v>3903.33</v>
      </c>
      <c r="Q20" s="2"/>
      <c r="R20" s="7">
        <f t="shared" si="4"/>
        <v>0</v>
      </c>
      <c r="S20" s="2"/>
      <c r="T20" s="6">
        <v>3416.8290230769298</v>
      </c>
      <c r="U20" s="2"/>
      <c r="V20" s="7">
        <f t="shared" si="5"/>
        <v>0</v>
      </c>
      <c r="W20" s="2"/>
      <c r="X20" s="6">
        <f t="shared" si="6"/>
        <v>486.50097692307008</v>
      </c>
      <c r="Y20" s="2"/>
      <c r="Z20" s="7">
        <f t="shared" si="7"/>
        <v>0.1423837639042779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84.08</v>
      </c>
      <c r="E21" s="2"/>
      <c r="F21" s="7">
        <f t="shared" si="0"/>
        <v>0</v>
      </c>
      <c r="G21" s="2"/>
      <c r="H21" s="6">
        <v>91.129753846153889</v>
      </c>
      <c r="I21" s="2"/>
      <c r="J21" s="7">
        <f t="shared" si="1"/>
        <v>0</v>
      </c>
      <c r="K21" s="2"/>
      <c r="L21" s="6">
        <f t="shared" si="2"/>
        <v>-7.0497538461538909</v>
      </c>
      <c r="M21" s="2"/>
      <c r="N21" s="7">
        <f t="shared" si="3"/>
        <v>-7.735951814437414E-2</v>
      </c>
      <c r="O21" s="11"/>
      <c r="P21" s="6">
        <v>168.07</v>
      </c>
      <c r="Q21" s="2"/>
      <c r="R21" s="7">
        <f t="shared" si="4"/>
        <v>0</v>
      </c>
      <c r="S21" s="2"/>
      <c r="T21" s="6">
        <v>205.04194615384588</v>
      </c>
      <c r="U21" s="2"/>
      <c r="V21" s="7">
        <f t="shared" si="5"/>
        <v>0</v>
      </c>
      <c r="W21" s="2"/>
      <c r="X21" s="6">
        <f t="shared" si="6"/>
        <v>-36.971946153845892</v>
      </c>
      <c r="Y21" s="2"/>
      <c r="Z21" s="7">
        <f t="shared" si="7"/>
        <v>-0.18031406181691875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5635.3846153846198</v>
      </c>
      <c r="I22" s="2"/>
      <c r="J22" s="7">
        <f t="shared" si="1"/>
        <v>0</v>
      </c>
      <c r="K22" s="2"/>
      <c r="L22" s="6">
        <f t="shared" si="2"/>
        <v>456.28538461538028</v>
      </c>
      <c r="M22" s="2"/>
      <c r="N22" s="7">
        <f t="shared" si="3"/>
        <v>8.096792246792163E-2</v>
      </c>
      <c r="O22" s="11"/>
      <c r="P22" s="6">
        <v>12183.34</v>
      </c>
      <c r="Q22" s="2"/>
      <c r="R22" s="7">
        <f t="shared" si="4"/>
        <v>0</v>
      </c>
      <c r="S22" s="2"/>
      <c r="T22" s="6">
        <v>12184.61538461539</v>
      </c>
      <c r="U22" s="2"/>
      <c r="V22" s="7">
        <f t="shared" si="5"/>
        <v>0</v>
      </c>
      <c r="W22" s="2"/>
      <c r="X22" s="6">
        <f t="shared" si="6"/>
        <v>-1.2753846153900668</v>
      </c>
      <c r="Y22" s="2"/>
      <c r="Z22" s="7">
        <f t="shared" si="7"/>
        <v>-1.0467171717216452E-4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66.25</v>
      </c>
      <c r="E23" s="2"/>
      <c r="F23" s="7">
        <f t="shared" si="0"/>
        <v>0</v>
      </c>
      <c r="G23" s="2"/>
      <c r="H23" s="6">
        <v>71.799199999999999</v>
      </c>
      <c r="I23" s="2"/>
      <c r="J23" s="7">
        <f t="shared" si="1"/>
        <v>0</v>
      </c>
      <c r="K23" s="2"/>
      <c r="L23" s="6">
        <f t="shared" si="2"/>
        <v>-5.549199999999999</v>
      </c>
      <c r="M23" s="2"/>
      <c r="N23" s="7">
        <f t="shared" si="3"/>
        <v>-7.72877692230554E-2</v>
      </c>
      <c r="O23" s="11"/>
      <c r="P23" s="6">
        <v>132.41999999999999</v>
      </c>
      <c r="Q23" s="2"/>
      <c r="R23" s="7">
        <f t="shared" si="4"/>
        <v>0</v>
      </c>
      <c r="S23" s="2"/>
      <c r="T23" s="6">
        <v>161.54820000000001</v>
      </c>
      <c r="U23" s="2"/>
      <c r="V23" s="7">
        <f t="shared" si="5"/>
        <v>0</v>
      </c>
      <c r="W23" s="2"/>
      <c r="X23" s="6">
        <f t="shared" si="6"/>
        <v>-29.128200000000021</v>
      </c>
      <c r="Y23" s="2"/>
      <c r="Z23" s="7">
        <f t="shared" si="7"/>
        <v>-0.18030655866174936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1091.48</v>
      </c>
      <c r="E24" s="2"/>
      <c r="F24" s="7">
        <f t="shared" si="0"/>
        <v>0</v>
      </c>
      <c r="G24" s="2"/>
      <c r="H24" s="6">
        <v>853.38461538461502</v>
      </c>
      <c r="I24" s="2"/>
      <c r="J24" s="7">
        <f t="shared" si="1"/>
        <v>0</v>
      </c>
      <c r="K24" s="2"/>
      <c r="L24" s="6">
        <f t="shared" si="2"/>
        <v>238.095384615385</v>
      </c>
      <c r="M24" s="2"/>
      <c r="N24" s="7">
        <f t="shared" si="3"/>
        <v>0.27900126194339342</v>
      </c>
      <c r="O24" s="11"/>
      <c r="P24" s="6">
        <v>2728.7</v>
      </c>
      <c r="Q24" s="2"/>
      <c r="R24" s="7">
        <f t="shared" si="4"/>
        <v>0</v>
      </c>
      <c r="S24" s="2"/>
      <c r="T24" s="6">
        <v>1920.115384615385</v>
      </c>
      <c r="U24" s="2"/>
      <c r="V24" s="7">
        <f t="shared" si="5"/>
        <v>0</v>
      </c>
      <c r="W24" s="2"/>
      <c r="X24" s="6">
        <f t="shared" si="6"/>
        <v>808.58461538461484</v>
      </c>
      <c r="Y24" s="2"/>
      <c r="Z24" s="7">
        <f t="shared" si="7"/>
        <v>0.42111251327043608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607.24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607.24</v>
      </c>
      <c r="M26" s="2"/>
      <c r="N26" s="7">
        <f t="shared" si="3"/>
        <v>0</v>
      </c>
      <c r="O26" s="11"/>
      <c r="P26" s="6">
        <v>1436.46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1436.46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1011.14</v>
      </c>
      <c r="E27" s="2"/>
      <c r="F27" s="7">
        <f t="shared" si="0"/>
        <v>0</v>
      </c>
      <c r="G27" s="2"/>
      <c r="H27" s="6">
        <v>992.15384615384596</v>
      </c>
      <c r="I27" s="2"/>
      <c r="J27" s="7">
        <f t="shared" si="1"/>
        <v>0</v>
      </c>
      <c r="K27" s="2"/>
      <c r="L27" s="6">
        <f t="shared" si="2"/>
        <v>18.986153846154025</v>
      </c>
      <c r="M27" s="2"/>
      <c r="N27" s="7">
        <f t="shared" si="3"/>
        <v>1.9136300201581826E-2</v>
      </c>
      <c r="O27" s="11"/>
      <c r="P27" s="6">
        <v>1946.83</v>
      </c>
      <c r="Q27" s="2"/>
      <c r="R27" s="7">
        <f t="shared" si="4"/>
        <v>0</v>
      </c>
      <c r="S27" s="2"/>
      <c r="T27" s="6">
        <v>2232.3461538461561</v>
      </c>
      <c r="U27" s="2"/>
      <c r="V27" s="7">
        <f t="shared" si="5"/>
        <v>0</v>
      </c>
      <c r="W27" s="2"/>
      <c r="X27" s="6">
        <f t="shared" si="6"/>
        <v>-285.51615384615616</v>
      </c>
      <c r="Y27" s="2"/>
      <c r="Z27" s="7">
        <f t="shared" si="7"/>
        <v>-0.12789958822211975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828.45230769230795</v>
      </c>
      <c r="I28" s="2"/>
      <c r="J28" s="7">
        <f t="shared" si="1"/>
        <v>0</v>
      </c>
      <c r="K28" s="2"/>
      <c r="L28" s="6">
        <f t="shared" si="2"/>
        <v>79.66769230769205</v>
      </c>
      <c r="M28" s="2"/>
      <c r="N28" s="7">
        <f t="shared" si="3"/>
        <v>9.6164488369415102E-2</v>
      </c>
      <c r="O28" s="11"/>
      <c r="P28" s="6">
        <v>1816.24</v>
      </c>
      <c r="Q28" s="2"/>
      <c r="R28" s="7">
        <f t="shared" si="4"/>
        <v>0</v>
      </c>
      <c r="S28" s="2"/>
      <c r="T28" s="6">
        <v>1864.0176923076879</v>
      </c>
      <c r="U28" s="2"/>
      <c r="V28" s="7">
        <f t="shared" si="5"/>
        <v>0</v>
      </c>
      <c r="W28" s="2"/>
      <c r="X28" s="6">
        <f t="shared" si="6"/>
        <v>-47.777692307687857</v>
      </c>
      <c r="Y28" s="2"/>
      <c r="Z28" s="7">
        <f t="shared" si="7"/>
        <v>-2.5631565893850614E-2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54.7</v>
      </c>
      <c r="E29" s="2"/>
      <c r="F29" s="7">
        <f t="shared" si="0"/>
        <v>0</v>
      </c>
      <c r="G29" s="2"/>
      <c r="H29" s="6">
        <v>525</v>
      </c>
      <c r="I29" s="2"/>
      <c r="J29" s="7">
        <f t="shared" si="1"/>
        <v>0</v>
      </c>
      <c r="K29" s="2"/>
      <c r="L29" s="6">
        <f t="shared" si="2"/>
        <v>-470.3</v>
      </c>
      <c r="M29" s="2"/>
      <c r="N29" s="7">
        <f t="shared" si="3"/>
        <v>-0.89580952380952383</v>
      </c>
      <c r="O29" s="11"/>
      <c r="P29" s="6">
        <v>62.7</v>
      </c>
      <c r="Q29" s="2"/>
      <c r="R29" s="7">
        <f t="shared" si="4"/>
        <v>0</v>
      </c>
      <c r="S29" s="2"/>
      <c r="T29" s="6">
        <v>1050</v>
      </c>
      <c r="U29" s="2"/>
      <c r="V29" s="7">
        <f t="shared" si="5"/>
        <v>0</v>
      </c>
      <c r="W29" s="2"/>
      <c r="X29" s="6">
        <f t="shared" si="6"/>
        <v>-987.3</v>
      </c>
      <c r="Y29" s="2"/>
      <c r="Z29" s="7">
        <f t="shared" si="7"/>
        <v>-0.94028571428571428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25084.33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-943.30076923076558</v>
      </c>
      <c r="M30" s="1"/>
      <c r="N30" s="5">
        <f t="shared" ref="N30:N40" si="11">IF(H30=0,0,L30/H30)</f>
        <v>-3.624228334858326E-2</v>
      </c>
      <c r="O30" s="14"/>
      <c r="P30" s="1">
        <f>SUM(OSRRefP22_1x_0)</f>
        <v>56535.33</v>
      </c>
      <c r="Q30" s="1"/>
      <c r="R30" s="5">
        <f t="shared" ref="R30:R40" si="12">IF(P$12=0,0,P30/P$12)</f>
        <v>0</v>
      </c>
      <c r="S30" s="1"/>
      <c r="T30" s="1">
        <f>SUM(OSRRefT22_1x_0)</f>
        <v>58562.169230769272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-2026.8392307692702</v>
      </c>
      <c r="Y30" s="1"/>
      <c r="Z30" s="5">
        <f t="shared" ref="Z30:Z40" si="15">IF(T30=0,0,X30/T30)</f>
        <v>-3.4610043606519009E-2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9399.9500000000007</v>
      </c>
      <c r="E31" s="2"/>
      <c r="F31" s="7">
        <f t="shared" si="8"/>
        <v>0</v>
      </c>
      <c r="G31" s="2"/>
      <c r="H31" s="6">
        <v>9129.2307692307695</v>
      </c>
      <c r="I31" s="2"/>
      <c r="J31" s="7">
        <f t="shared" si="9"/>
        <v>0</v>
      </c>
      <c r="K31" s="2"/>
      <c r="L31" s="6">
        <f t="shared" si="10"/>
        <v>270.71923076923122</v>
      </c>
      <c r="M31" s="2"/>
      <c r="N31" s="7">
        <f t="shared" si="11"/>
        <v>2.9654111897539651E-2</v>
      </c>
      <c r="O31" s="11"/>
      <c r="P31" s="6">
        <v>21273.9</v>
      </c>
      <c r="Q31" s="2"/>
      <c r="R31" s="7">
        <f t="shared" si="12"/>
        <v>0</v>
      </c>
      <c r="S31" s="2"/>
      <c r="T31" s="6">
        <v>20540.769230769271</v>
      </c>
      <c r="U31" s="2"/>
      <c r="V31" s="7">
        <f t="shared" si="13"/>
        <v>0</v>
      </c>
      <c r="W31" s="2"/>
      <c r="X31" s="6">
        <f t="shared" si="14"/>
        <v>733.13076923073095</v>
      </c>
      <c r="Y31" s="2"/>
      <c r="Z31" s="7">
        <f t="shared" si="15"/>
        <v>3.5691495337600583E-2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9487.64</v>
      </c>
      <c r="E34" s="2"/>
      <c r="F34" s="7">
        <f t="shared" si="8"/>
        <v>0</v>
      </c>
      <c r="G34" s="2"/>
      <c r="H34" s="6">
        <v>9126.4</v>
      </c>
      <c r="I34" s="2"/>
      <c r="J34" s="7">
        <f t="shared" si="9"/>
        <v>0</v>
      </c>
      <c r="K34" s="2"/>
      <c r="L34" s="6">
        <f t="shared" si="10"/>
        <v>361.23999999999978</v>
      </c>
      <c r="M34" s="2"/>
      <c r="N34" s="7">
        <f t="shared" si="11"/>
        <v>3.958187237026646E-2</v>
      </c>
      <c r="O34" s="11"/>
      <c r="P34" s="6">
        <v>19241.350000000002</v>
      </c>
      <c r="Q34" s="2"/>
      <c r="R34" s="7">
        <f t="shared" si="12"/>
        <v>0</v>
      </c>
      <c r="S34" s="2"/>
      <c r="T34" s="6">
        <v>20534.400000000001</v>
      </c>
      <c r="U34" s="2"/>
      <c r="V34" s="7">
        <f t="shared" si="13"/>
        <v>0</v>
      </c>
      <c r="W34" s="2"/>
      <c r="X34" s="6">
        <f t="shared" si="14"/>
        <v>-1293.0499999999993</v>
      </c>
      <c r="Y34" s="2"/>
      <c r="Z34" s="7">
        <f t="shared" si="15"/>
        <v>-6.296994311983789E-2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5756.74</v>
      </c>
      <c r="E35" s="2"/>
      <c r="F35" s="7">
        <f t="shared" si="8"/>
        <v>0</v>
      </c>
      <c r="G35" s="2"/>
      <c r="H35" s="6">
        <v>7772</v>
      </c>
      <c r="I35" s="2"/>
      <c r="J35" s="7">
        <f t="shared" si="9"/>
        <v>0</v>
      </c>
      <c r="K35" s="2"/>
      <c r="L35" s="6">
        <f t="shared" si="10"/>
        <v>-2015.2600000000002</v>
      </c>
      <c r="M35" s="2"/>
      <c r="N35" s="7">
        <f t="shared" si="11"/>
        <v>-0.25929747812660836</v>
      </c>
      <c r="O35" s="11"/>
      <c r="P35" s="6">
        <v>11640.08</v>
      </c>
      <c r="Q35" s="2"/>
      <c r="R35" s="7">
        <f t="shared" si="12"/>
        <v>0</v>
      </c>
      <c r="S35" s="2"/>
      <c r="T35" s="6">
        <v>17487</v>
      </c>
      <c r="U35" s="2"/>
      <c r="V35" s="7">
        <f t="shared" si="13"/>
        <v>0</v>
      </c>
      <c r="W35" s="2"/>
      <c r="X35" s="6">
        <f t="shared" si="14"/>
        <v>-5846.92</v>
      </c>
      <c r="Y35" s="2"/>
      <c r="Z35" s="7">
        <f t="shared" si="15"/>
        <v>-0.33435809458454852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440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440</v>
      </c>
      <c r="M37" s="2"/>
      <c r="N37" s="7">
        <f t="shared" si="11"/>
        <v>0</v>
      </c>
      <c r="O37" s="11"/>
      <c r="P37" s="6">
        <v>4380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4380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500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-500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250</v>
      </c>
      <c r="I42" s="2"/>
      <c r="J42" s="7">
        <f t="shared" si="17"/>
        <v>0</v>
      </c>
      <c r="K42" s="2"/>
      <c r="L42" s="6">
        <f t="shared" si="18"/>
        <v>-250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500</v>
      </c>
      <c r="U42" s="2"/>
      <c r="V42" s="7">
        <f t="shared" si="21"/>
        <v>0</v>
      </c>
      <c r="W42" s="2"/>
      <c r="X42" s="6">
        <f t="shared" si="22"/>
        <v>-500</v>
      </c>
      <c r="Y42" s="2"/>
      <c r="Z42" s="7">
        <f t="shared" si="23"/>
        <v>-1</v>
      </c>
    </row>
    <row r="43" spans="1:26" s="29" customFormat="1" outlineLevel="1" collapsed="1" x14ac:dyDescent="0.25">
      <c r="A43" s="28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81.56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81.56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81.56</v>
      </c>
      <c r="Y43" s="1"/>
      <c r="Z43" s="5">
        <f t="shared" si="23"/>
        <v>0</v>
      </c>
    </row>
    <row r="44" spans="1:26" s="24" customFormat="1" hidden="1" outlineLevel="2" x14ac:dyDescent="0.25">
      <c r="A44" s="27"/>
      <c r="B44" s="11" t="str">
        <f>CONCATENATE("          ", "6277", " - ", "EMPLOYEE APPRECIATION")</f>
        <v xml:space="preserve">          6277 - EMPLOYEE APPRECIATION</v>
      </c>
      <c r="C44" s="11"/>
      <c r="D44" s="6">
        <v>81.56</v>
      </c>
      <c r="E44" s="2"/>
      <c r="F44" s="7">
        <f t="shared" si="16"/>
        <v>0</v>
      </c>
      <c r="G44" s="2"/>
      <c r="H44" s="6">
        <v>0</v>
      </c>
      <c r="I44" s="2"/>
      <c r="J44" s="7">
        <f t="shared" si="17"/>
        <v>0</v>
      </c>
      <c r="K44" s="2"/>
      <c r="L44" s="6">
        <f t="shared" si="18"/>
        <v>81.56</v>
      </c>
      <c r="M44" s="2"/>
      <c r="N44" s="7">
        <f t="shared" si="19"/>
        <v>0</v>
      </c>
      <c r="O44" s="11"/>
      <c r="P44" s="6">
        <v>81.56</v>
      </c>
      <c r="Q44" s="2"/>
      <c r="R44" s="7">
        <f t="shared" si="20"/>
        <v>0</v>
      </c>
      <c r="S44" s="2"/>
      <c r="T44" s="6">
        <v>0</v>
      </c>
      <c r="U44" s="2"/>
      <c r="V44" s="7">
        <f t="shared" si="21"/>
        <v>0</v>
      </c>
      <c r="W44" s="2"/>
      <c r="X44" s="6">
        <f t="shared" si="22"/>
        <v>81.56</v>
      </c>
      <c r="Y44" s="2"/>
      <c r="Z44" s="7">
        <f t="shared" si="23"/>
        <v>0</v>
      </c>
    </row>
    <row r="45" spans="1:26" s="29" customFormat="1" outlineLevel="1" collapsed="1" x14ac:dyDescent="0.25">
      <c r="A45" s="28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82</v>
      </c>
      <c r="U45" s="1"/>
      <c r="V45" s="5">
        <f t="shared" si="21"/>
        <v>0</v>
      </c>
      <c r="W45" s="1"/>
      <c r="X45" s="1">
        <f t="shared" si="22"/>
        <v>-82</v>
      </c>
      <c r="Y45" s="1"/>
      <c r="Z45" s="5">
        <f t="shared" si="23"/>
        <v>-1</v>
      </c>
    </row>
    <row r="46" spans="1:26" s="24" customFormat="1" hidden="1" outlineLevel="2" x14ac:dyDescent="0.25">
      <c r="A46" s="27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82</v>
      </c>
      <c r="I46" s="2"/>
      <c r="J46" s="7">
        <f t="shared" si="17"/>
        <v>0</v>
      </c>
      <c r="K46" s="2"/>
      <c r="L46" s="6">
        <f t="shared" si="18"/>
        <v>-82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82</v>
      </c>
      <c r="U46" s="2"/>
      <c r="V46" s="7">
        <f t="shared" si="21"/>
        <v>0</v>
      </c>
      <c r="W46" s="2"/>
      <c r="X46" s="6">
        <f t="shared" si="22"/>
        <v>-82</v>
      </c>
      <c r="Y46" s="2"/>
      <c r="Z46" s="7">
        <f t="shared" si="23"/>
        <v>-1</v>
      </c>
    </row>
    <row r="47" spans="1:26" s="29" customFormat="1" outlineLevel="1" collapsed="1" x14ac:dyDescent="0.25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36.15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-46.85</v>
      </c>
      <c r="M47" s="1"/>
      <c r="N47" s="5">
        <f t="shared" si="19"/>
        <v>-0.56445783132530125</v>
      </c>
      <c r="O47" s="14"/>
      <c r="P47" s="1">
        <f>SUM(OSRRefP22_5x_0)</f>
        <v>39.65</v>
      </c>
      <c r="Q47" s="1"/>
      <c r="R47" s="5">
        <f t="shared" si="20"/>
        <v>0</v>
      </c>
      <c r="S47" s="1"/>
      <c r="T47" s="1">
        <f>SUM(OSRRefT22_5x_0)</f>
        <v>166</v>
      </c>
      <c r="U47" s="1"/>
      <c r="V47" s="5">
        <f t="shared" si="21"/>
        <v>0</v>
      </c>
      <c r="W47" s="1"/>
      <c r="X47" s="1">
        <f t="shared" si="22"/>
        <v>-126.35</v>
      </c>
      <c r="Y47" s="1"/>
      <c r="Z47" s="5">
        <f t="shared" si="23"/>
        <v>-0.761144578313253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>
        <v>36.15</v>
      </c>
      <c r="E48" s="2"/>
      <c r="F48" s="7">
        <f t="shared" si="16"/>
        <v>0</v>
      </c>
      <c r="G48" s="2"/>
      <c r="H48" s="6">
        <v>83</v>
      </c>
      <c r="I48" s="2"/>
      <c r="J48" s="7">
        <f t="shared" si="17"/>
        <v>0</v>
      </c>
      <c r="K48" s="2"/>
      <c r="L48" s="6">
        <f t="shared" si="18"/>
        <v>-46.85</v>
      </c>
      <c r="M48" s="2"/>
      <c r="N48" s="7">
        <f t="shared" si="19"/>
        <v>-0.56445783132530125</v>
      </c>
      <c r="O48" s="11"/>
      <c r="P48" s="6">
        <v>39.65</v>
      </c>
      <c r="Q48" s="2"/>
      <c r="R48" s="7">
        <f t="shared" si="20"/>
        <v>0</v>
      </c>
      <c r="S48" s="2"/>
      <c r="T48" s="6">
        <v>166</v>
      </c>
      <c r="U48" s="2"/>
      <c r="V48" s="7">
        <f t="shared" si="21"/>
        <v>0</v>
      </c>
      <c r="W48" s="2"/>
      <c r="X48" s="6">
        <f t="shared" si="22"/>
        <v>-126.35</v>
      </c>
      <c r="Y48" s="2"/>
      <c r="Z48" s="7">
        <f t="shared" si="23"/>
        <v>-0.761144578313253</v>
      </c>
    </row>
    <row r="49" spans="1:26" s="29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-684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-1017</v>
      </c>
      <c r="M49" s="1"/>
      <c r="N49" s="5">
        <f t="shared" si="19"/>
        <v>-3.0540540540540539</v>
      </c>
      <c r="O49" s="14"/>
      <c r="P49" s="1">
        <f>SUM(OSRRefP22_6x_0)</f>
        <v>-684</v>
      </c>
      <c r="Q49" s="1"/>
      <c r="R49" s="5">
        <f t="shared" si="20"/>
        <v>0</v>
      </c>
      <c r="S49" s="1"/>
      <c r="T49" s="1">
        <f>SUM(OSRRefT22_6x_0)</f>
        <v>666</v>
      </c>
      <c r="U49" s="1"/>
      <c r="V49" s="5">
        <f t="shared" si="21"/>
        <v>0</v>
      </c>
      <c r="W49" s="1"/>
      <c r="X49" s="1">
        <f t="shared" si="22"/>
        <v>-1350</v>
      </c>
      <c r="Y49" s="1"/>
      <c r="Z49" s="5">
        <f t="shared" si="23"/>
        <v>-2.0270270270270272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>
        <v>-684</v>
      </c>
      <c r="E50" s="2"/>
      <c r="F50" s="7">
        <f t="shared" si="16"/>
        <v>0</v>
      </c>
      <c r="G50" s="2"/>
      <c r="H50" s="6">
        <v>333</v>
      </c>
      <c r="I50" s="2"/>
      <c r="J50" s="7">
        <f t="shared" si="17"/>
        <v>0</v>
      </c>
      <c r="K50" s="2"/>
      <c r="L50" s="6">
        <f t="shared" si="18"/>
        <v>-1017</v>
      </c>
      <c r="M50" s="2"/>
      <c r="N50" s="7">
        <f t="shared" si="19"/>
        <v>-3.0540540540540539</v>
      </c>
      <c r="O50" s="11"/>
      <c r="P50" s="6">
        <v>-684</v>
      </c>
      <c r="Q50" s="2"/>
      <c r="R50" s="7">
        <f t="shared" si="20"/>
        <v>0</v>
      </c>
      <c r="S50" s="2"/>
      <c r="T50" s="6">
        <v>666</v>
      </c>
      <c r="U50" s="2"/>
      <c r="V50" s="7">
        <f t="shared" si="21"/>
        <v>0</v>
      </c>
      <c r="W50" s="2"/>
      <c r="X50" s="6">
        <f t="shared" si="22"/>
        <v>-1350</v>
      </c>
      <c r="Y50" s="2"/>
      <c r="Z50" s="7">
        <f t="shared" si="23"/>
        <v>-2.0270270270270272</v>
      </c>
    </row>
    <row r="51" spans="1:26" s="29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130.94</v>
      </c>
      <c r="Q51" s="1"/>
      <c r="R51" s="5">
        <f t="shared" si="20"/>
        <v>0</v>
      </c>
      <c r="S51" s="1"/>
      <c r="T51" s="1">
        <f>SUM(OSRRefT22_7x_0)</f>
        <v>926</v>
      </c>
      <c r="U51" s="1"/>
      <c r="V51" s="5">
        <f t="shared" si="21"/>
        <v>0</v>
      </c>
      <c r="W51" s="1"/>
      <c r="X51" s="1">
        <f t="shared" si="22"/>
        <v>-795.06</v>
      </c>
      <c r="Y51" s="1"/>
      <c r="Z51" s="5">
        <f t="shared" si="23"/>
        <v>-0.85859611231101507</v>
      </c>
    </row>
    <row r="52" spans="1:26" s="24" customFormat="1" hidden="1" outlineLevel="2" x14ac:dyDescent="0.25">
      <c r="A52" s="27"/>
      <c r="B52" s="11" t="str">
        <f>CONCATENATE("          ", "6312", " - ", "FIRE &amp; THEFT INSURANCE")</f>
        <v xml:space="preserve">          6312 - FIRE &amp; THEFT INSURANCE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780</v>
      </c>
      <c r="U52" s="2"/>
      <c r="V52" s="7">
        <f t="shared" si="21"/>
        <v>0</v>
      </c>
      <c r="W52" s="2"/>
      <c r="X52" s="6">
        <f t="shared" si="22"/>
        <v>-780</v>
      </c>
      <c r="Y52" s="2"/>
      <c r="Z52" s="7">
        <f t="shared" si="23"/>
        <v>-1</v>
      </c>
    </row>
    <row r="53" spans="1:26" s="24" customFormat="1" hidden="1" outlineLevel="2" x14ac:dyDescent="0.25">
      <c r="A53" s="27"/>
      <c r="B53" s="11" t="str">
        <f>CONCATENATE("          ", "6314", " - ", "LIABILITY INSURANCE")</f>
        <v xml:space="preserve">          6314 - LIABILITY INSURANCE</v>
      </c>
      <c r="C53" s="11"/>
      <c r="D53" s="6">
        <v>65.47</v>
      </c>
      <c r="E53" s="2"/>
      <c r="F53" s="7">
        <f t="shared" si="16"/>
        <v>0</v>
      </c>
      <c r="G53" s="2"/>
      <c r="H53" s="6">
        <v>73</v>
      </c>
      <c r="I53" s="2"/>
      <c r="J53" s="7">
        <f t="shared" si="17"/>
        <v>0</v>
      </c>
      <c r="K53" s="2"/>
      <c r="L53" s="6">
        <f t="shared" si="18"/>
        <v>-7.5300000000000011</v>
      </c>
      <c r="M53" s="2"/>
      <c r="N53" s="7">
        <f t="shared" si="19"/>
        <v>-0.10315068493150686</v>
      </c>
      <c r="O53" s="11"/>
      <c r="P53" s="6">
        <v>130.94</v>
      </c>
      <c r="Q53" s="2"/>
      <c r="R53" s="7">
        <f t="shared" si="20"/>
        <v>0</v>
      </c>
      <c r="S53" s="2"/>
      <c r="T53" s="6">
        <v>146</v>
      </c>
      <c r="U53" s="2"/>
      <c r="V53" s="7">
        <f t="shared" si="21"/>
        <v>0</v>
      </c>
      <c r="W53" s="2"/>
      <c r="X53" s="6">
        <f t="shared" si="22"/>
        <v>-15.060000000000002</v>
      </c>
      <c r="Y53" s="2"/>
      <c r="Z53" s="7">
        <f t="shared" si="23"/>
        <v>-0.10315068493150686</v>
      </c>
    </row>
    <row r="54" spans="1:26" s="29" customFormat="1" outlineLevel="1" collapsed="1" x14ac:dyDescent="0.25">
      <c r="A54" s="28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347.09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-1735.91</v>
      </c>
      <c r="M54" s="1"/>
      <c r="N54" s="5">
        <f t="shared" ref="N54:N57" si="27">IF(H54=0,0,L54/H54)</f>
        <v>-0.83337013922227565</v>
      </c>
      <c r="O54" s="14"/>
      <c r="P54" s="1">
        <f>SUM(OSRRefP22_8x_0)</f>
        <v>2002.09</v>
      </c>
      <c r="Q54" s="1"/>
      <c r="R54" s="5">
        <f t="shared" ref="R54:R57" si="28">IF(P$12=0,0,P54/P$12)</f>
        <v>0</v>
      </c>
      <c r="S54" s="1"/>
      <c r="T54" s="1">
        <f>SUM(OSRRefT22_8x_0)</f>
        <v>4166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-2163.91</v>
      </c>
      <c r="Y54" s="1"/>
      <c r="Z54" s="5">
        <f t="shared" ref="Z54:Z57" si="31">IF(T54=0,0,X54/T54)</f>
        <v>-0.51942150744119053</v>
      </c>
    </row>
    <row r="55" spans="1:26" s="24" customFormat="1" hidden="1" outlineLevel="2" x14ac:dyDescent="0.25">
      <c r="A55" s="27"/>
      <c r="B55" s="11" t="str">
        <f>CONCATENATE("          ", "6332", " - ", "CONSULTANT FEES")</f>
        <v xml:space="preserve">          6332 - CONSULTANT FEES</v>
      </c>
      <c r="C55" s="11"/>
      <c r="D55" s="6"/>
      <c r="E55" s="2"/>
      <c r="F55" s="7">
        <f t="shared" si="24"/>
        <v>0</v>
      </c>
      <c r="G55" s="2"/>
      <c r="H55" s="6">
        <v>0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/>
      <c r="Q55" s="2"/>
      <c r="R55" s="7">
        <f t="shared" si="28"/>
        <v>0</v>
      </c>
      <c r="S55" s="2"/>
      <c r="T55" s="6">
        <v>0</v>
      </c>
      <c r="U55" s="2"/>
      <c r="V55" s="7">
        <f t="shared" si="29"/>
        <v>0</v>
      </c>
      <c r="W55" s="2"/>
      <c r="X55" s="6">
        <f t="shared" si="30"/>
        <v>0</v>
      </c>
      <c r="Y55" s="2"/>
      <c r="Z55" s="7">
        <f t="shared" si="31"/>
        <v>0</v>
      </c>
    </row>
    <row r="56" spans="1:26" s="24" customFormat="1" hidden="1" outlineLevel="2" x14ac:dyDescent="0.25">
      <c r="A56" s="27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24"/>
        <v>0</v>
      </c>
      <c r="G56" s="2"/>
      <c r="H56" s="6">
        <v>833</v>
      </c>
      <c r="I56" s="2"/>
      <c r="J56" s="7">
        <f t="shared" si="25"/>
        <v>0</v>
      </c>
      <c r="K56" s="2"/>
      <c r="L56" s="6">
        <f t="shared" si="26"/>
        <v>-833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1666</v>
      </c>
      <c r="U56" s="2"/>
      <c r="V56" s="7">
        <f t="shared" si="29"/>
        <v>0</v>
      </c>
      <c r="W56" s="2"/>
      <c r="X56" s="6">
        <f t="shared" si="30"/>
        <v>-1666</v>
      </c>
      <c r="Y56" s="2"/>
      <c r="Z56" s="7">
        <f t="shared" si="31"/>
        <v>-1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6">
        <v>347.09</v>
      </c>
      <c r="E57" s="2"/>
      <c r="F57" s="7">
        <f t="shared" si="24"/>
        <v>0</v>
      </c>
      <c r="G57" s="2"/>
      <c r="H57" s="6">
        <v>1250</v>
      </c>
      <c r="I57" s="2"/>
      <c r="J57" s="7">
        <f t="shared" si="25"/>
        <v>0</v>
      </c>
      <c r="K57" s="2"/>
      <c r="L57" s="6">
        <f t="shared" si="26"/>
        <v>-902.91000000000008</v>
      </c>
      <c r="M57" s="2"/>
      <c r="N57" s="7">
        <f t="shared" si="27"/>
        <v>-0.72232800000000008</v>
      </c>
      <c r="O57" s="11"/>
      <c r="P57" s="6">
        <v>2002.09</v>
      </c>
      <c r="Q57" s="2"/>
      <c r="R57" s="7">
        <f t="shared" si="28"/>
        <v>0</v>
      </c>
      <c r="S57" s="2"/>
      <c r="T57" s="6">
        <v>2500</v>
      </c>
      <c r="U57" s="2"/>
      <c r="V57" s="7">
        <f t="shared" si="29"/>
        <v>0</v>
      </c>
      <c r="W57" s="2"/>
      <c r="X57" s="6">
        <f t="shared" si="30"/>
        <v>-497.91000000000008</v>
      </c>
      <c r="Y57" s="2"/>
      <c r="Z57" s="7">
        <f t="shared" si="31"/>
        <v>-0.19916400000000004</v>
      </c>
    </row>
    <row r="58" spans="1:26" s="29" customFormat="1" outlineLevel="1" collapsed="1" x14ac:dyDescent="0.25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3679.46</v>
      </c>
      <c r="E58" s="1"/>
      <c r="F58" s="5">
        <f t="shared" ref="F58:F65" si="32">IF(D$12=0,0,D58/D$12)</f>
        <v>0</v>
      </c>
      <c r="G58" s="1"/>
      <c r="H58" s="1">
        <f>SUM(OSRRefH22_9x_0)</f>
        <v>7083</v>
      </c>
      <c r="I58" s="1"/>
      <c r="J58" s="5">
        <f t="shared" ref="J58:J65" si="33">IF(H$12=0,0,H58/H$12)</f>
        <v>0</v>
      </c>
      <c r="K58" s="1"/>
      <c r="L58" s="1">
        <f t="shared" ref="L58:L65" si="34">+D58-H58</f>
        <v>-3403.54</v>
      </c>
      <c r="M58" s="1"/>
      <c r="N58" s="5">
        <f t="shared" ref="N58:N65" si="35">IF(H58=0,0,L58/H58)</f>
        <v>-0.48052237752364818</v>
      </c>
      <c r="O58" s="14"/>
      <c r="P58" s="1">
        <f>SUM(OSRRefP22_9x_0)</f>
        <v>8151.71</v>
      </c>
      <c r="Q58" s="1"/>
      <c r="R58" s="5">
        <f t="shared" ref="R58:R65" si="36">IF(P$12=0,0,P58/P$12)</f>
        <v>0</v>
      </c>
      <c r="S58" s="1"/>
      <c r="T58" s="1">
        <f>SUM(OSRRefT22_9x_0)</f>
        <v>14166</v>
      </c>
      <c r="U58" s="1"/>
      <c r="V58" s="5">
        <f t="shared" ref="V58:V65" si="37">IF(T$12=0,0,T58/T$12)</f>
        <v>0</v>
      </c>
      <c r="W58" s="1"/>
      <c r="X58" s="1">
        <f t="shared" ref="X58:X65" si="38">+P58-T58</f>
        <v>-6014.29</v>
      </c>
      <c r="Y58" s="1"/>
      <c r="Z58" s="5">
        <f t="shared" ref="Z58:Z65" si="39">IF(T58=0,0,X58/T58)</f>
        <v>-0.42455809685161655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3679.46</v>
      </c>
      <c r="E59" s="2"/>
      <c r="F59" s="7">
        <f t="shared" si="32"/>
        <v>0</v>
      </c>
      <c r="G59" s="2"/>
      <c r="H59" s="6">
        <v>7083</v>
      </c>
      <c r="I59" s="2"/>
      <c r="J59" s="7">
        <f t="shared" si="33"/>
        <v>0</v>
      </c>
      <c r="K59" s="2"/>
      <c r="L59" s="6">
        <f t="shared" si="34"/>
        <v>-3403.54</v>
      </c>
      <c r="M59" s="2"/>
      <c r="N59" s="7">
        <f t="shared" si="35"/>
        <v>-0.48052237752364818</v>
      </c>
      <c r="O59" s="11"/>
      <c r="P59" s="6">
        <v>8151.71</v>
      </c>
      <c r="Q59" s="2"/>
      <c r="R59" s="7">
        <f t="shared" si="36"/>
        <v>0</v>
      </c>
      <c r="S59" s="2"/>
      <c r="T59" s="6">
        <v>14166</v>
      </c>
      <c r="U59" s="2"/>
      <c r="V59" s="7">
        <f t="shared" si="37"/>
        <v>0</v>
      </c>
      <c r="W59" s="2"/>
      <c r="X59" s="6">
        <f t="shared" si="38"/>
        <v>-6014.29</v>
      </c>
      <c r="Y59" s="2"/>
      <c r="Z59" s="7">
        <f t="shared" si="39"/>
        <v>-0.42455809685161655</v>
      </c>
    </row>
    <row r="60" spans="1:26" s="29" customFormat="1" outlineLevel="1" collapsed="1" x14ac:dyDescent="0.25">
      <c r="A60" s="28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55</v>
      </c>
      <c r="I60" s="1"/>
      <c r="J60" s="5">
        <f t="shared" si="33"/>
        <v>0</v>
      </c>
      <c r="K60" s="1"/>
      <c r="L60" s="1">
        <f t="shared" si="34"/>
        <v>-55</v>
      </c>
      <c r="M60" s="1"/>
      <c r="N60" s="5">
        <f t="shared" si="35"/>
        <v>-1</v>
      </c>
      <c r="O60" s="14"/>
      <c r="P60" s="1">
        <f>SUM(OSRRefP22_10x_0)</f>
        <v>0</v>
      </c>
      <c r="Q60" s="1"/>
      <c r="R60" s="5">
        <f t="shared" si="36"/>
        <v>0</v>
      </c>
      <c r="S60" s="1"/>
      <c r="T60" s="1">
        <f>SUM(OSRRefT22_10x_0)</f>
        <v>110</v>
      </c>
      <c r="U60" s="1"/>
      <c r="V60" s="5">
        <f t="shared" si="37"/>
        <v>0</v>
      </c>
      <c r="W60" s="1"/>
      <c r="X60" s="1">
        <f t="shared" si="38"/>
        <v>-110</v>
      </c>
      <c r="Y60" s="1"/>
      <c r="Z60" s="5">
        <f t="shared" si="39"/>
        <v>-1</v>
      </c>
    </row>
    <row r="61" spans="1:26" s="24" customFormat="1" hidden="1" outlineLevel="2" x14ac:dyDescent="0.25">
      <c r="A61" s="27"/>
      <c r="B61" s="11" t="str">
        <f>CONCATENATE("          ", "6258", " - ", "MEMBERSHIP DUES")</f>
        <v xml:space="preserve">          6258 - MEMBERSHIP DUES</v>
      </c>
      <c r="C61" s="11"/>
      <c r="D61" s="6"/>
      <c r="E61" s="2"/>
      <c r="F61" s="7">
        <f t="shared" si="32"/>
        <v>0</v>
      </c>
      <c r="G61" s="2"/>
      <c r="H61" s="6">
        <v>55</v>
      </c>
      <c r="I61" s="2"/>
      <c r="J61" s="7">
        <f t="shared" si="33"/>
        <v>0</v>
      </c>
      <c r="K61" s="2"/>
      <c r="L61" s="6">
        <f t="shared" si="34"/>
        <v>-55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110</v>
      </c>
      <c r="U61" s="2"/>
      <c r="V61" s="7">
        <f t="shared" si="37"/>
        <v>0</v>
      </c>
      <c r="W61" s="2"/>
      <c r="X61" s="6">
        <f t="shared" si="38"/>
        <v>-110</v>
      </c>
      <c r="Y61" s="2"/>
      <c r="Z61" s="7">
        <f t="shared" si="39"/>
        <v>-1</v>
      </c>
    </row>
    <row r="62" spans="1:26" s="29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476.52000000000004</v>
      </c>
      <c r="E62" s="1"/>
      <c r="F62" s="5">
        <f t="shared" si="32"/>
        <v>0</v>
      </c>
      <c r="G62" s="1"/>
      <c r="H62" s="1">
        <f>SUM(OSRRefH22_11x_0)</f>
        <v>2084</v>
      </c>
      <c r="I62" s="1"/>
      <c r="J62" s="5">
        <f t="shared" si="33"/>
        <v>0</v>
      </c>
      <c r="K62" s="1"/>
      <c r="L62" s="1">
        <f t="shared" si="34"/>
        <v>-1607.48</v>
      </c>
      <c r="M62" s="1"/>
      <c r="N62" s="5">
        <f t="shared" si="35"/>
        <v>-0.77134357005758158</v>
      </c>
      <c r="O62" s="14"/>
      <c r="P62" s="1">
        <f>SUM(OSRRefP22_11x_0)</f>
        <v>1036.82</v>
      </c>
      <c r="Q62" s="1"/>
      <c r="R62" s="5">
        <f t="shared" si="36"/>
        <v>0</v>
      </c>
      <c r="S62" s="1"/>
      <c r="T62" s="1">
        <f>SUM(OSRRefT22_11x_0)</f>
        <v>4168</v>
      </c>
      <c r="U62" s="1"/>
      <c r="V62" s="5">
        <f t="shared" si="37"/>
        <v>0</v>
      </c>
      <c r="W62" s="1"/>
      <c r="X62" s="1">
        <f t="shared" si="38"/>
        <v>-3131.1800000000003</v>
      </c>
      <c r="Y62" s="1"/>
      <c r="Z62" s="5">
        <f t="shared" si="39"/>
        <v>-0.75124280230326301</v>
      </c>
    </row>
    <row r="63" spans="1:26" s="24" customFormat="1" hidden="1" outlineLevel="2" x14ac:dyDescent="0.25">
      <c r="A63" s="27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2"/>
        <v>0</v>
      </c>
      <c r="G63" s="2"/>
      <c r="H63" s="6">
        <v>417</v>
      </c>
      <c r="I63" s="2"/>
      <c r="J63" s="7">
        <f t="shared" si="33"/>
        <v>0</v>
      </c>
      <c r="K63" s="2"/>
      <c r="L63" s="6">
        <f t="shared" si="34"/>
        <v>-417</v>
      </c>
      <c r="M63" s="2"/>
      <c r="N63" s="7">
        <f t="shared" si="35"/>
        <v>-1</v>
      </c>
      <c r="O63" s="11"/>
      <c r="P63" s="6">
        <v>210.58</v>
      </c>
      <c r="Q63" s="2"/>
      <c r="R63" s="7">
        <f t="shared" si="36"/>
        <v>0</v>
      </c>
      <c r="S63" s="2"/>
      <c r="T63" s="6">
        <v>834</v>
      </c>
      <c r="U63" s="2"/>
      <c r="V63" s="7">
        <f t="shared" si="37"/>
        <v>0</v>
      </c>
      <c r="W63" s="2"/>
      <c r="X63" s="6">
        <f t="shared" si="38"/>
        <v>-623.41999999999996</v>
      </c>
      <c r="Y63" s="2"/>
      <c r="Z63" s="7">
        <f t="shared" si="39"/>
        <v>-0.74750599520383687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6">
        <v>430.48</v>
      </c>
      <c r="E64" s="2"/>
      <c r="F64" s="7">
        <f t="shared" si="32"/>
        <v>0</v>
      </c>
      <c r="G64" s="2"/>
      <c r="H64" s="6">
        <v>1250</v>
      </c>
      <c r="I64" s="2"/>
      <c r="J64" s="7">
        <f t="shared" si="33"/>
        <v>0</v>
      </c>
      <c r="K64" s="2"/>
      <c r="L64" s="6">
        <f t="shared" si="34"/>
        <v>-819.52</v>
      </c>
      <c r="M64" s="2"/>
      <c r="N64" s="7">
        <f t="shared" si="35"/>
        <v>-0.65561599999999998</v>
      </c>
      <c r="O64" s="11"/>
      <c r="P64" s="6">
        <v>678.53</v>
      </c>
      <c r="Q64" s="2"/>
      <c r="R64" s="7">
        <f t="shared" si="36"/>
        <v>0</v>
      </c>
      <c r="S64" s="2"/>
      <c r="T64" s="6">
        <v>2500</v>
      </c>
      <c r="U64" s="2"/>
      <c r="V64" s="7">
        <f t="shared" si="37"/>
        <v>0</v>
      </c>
      <c r="W64" s="2"/>
      <c r="X64" s="6">
        <f t="shared" si="38"/>
        <v>-1821.47</v>
      </c>
      <c r="Y64" s="2"/>
      <c r="Z64" s="7">
        <f t="shared" si="39"/>
        <v>-0.72858800000000001</v>
      </c>
    </row>
    <row r="65" spans="1:26" s="24" customFormat="1" hidden="1" outlineLevel="2" x14ac:dyDescent="0.25">
      <c r="A65" s="27"/>
      <c r="B65" s="11" t="str">
        <f>CONCATENATE("          ", "6244", " - ", "SAFETY SUPPLY EXPENSE")</f>
        <v xml:space="preserve">          6244 - SAFETY SUPPLY EXPENSE</v>
      </c>
      <c r="C65" s="11"/>
      <c r="D65" s="6">
        <v>46.04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-370.96</v>
      </c>
      <c r="M65" s="2"/>
      <c r="N65" s="7">
        <f t="shared" si="35"/>
        <v>-0.88959232613908867</v>
      </c>
      <c r="O65" s="11"/>
      <c r="P65" s="6">
        <v>147.71</v>
      </c>
      <c r="Q65" s="2"/>
      <c r="R65" s="7">
        <f t="shared" si="36"/>
        <v>0</v>
      </c>
      <c r="S65" s="2"/>
      <c r="T65" s="6">
        <v>834</v>
      </c>
      <c r="U65" s="2"/>
      <c r="V65" s="7">
        <f t="shared" si="37"/>
        <v>0</v>
      </c>
      <c r="W65" s="2"/>
      <c r="X65" s="6">
        <f t="shared" si="38"/>
        <v>-686.29</v>
      </c>
      <c r="Y65" s="2"/>
      <c r="Z65" s="7">
        <f t="shared" si="39"/>
        <v>-0.82288968824940045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339.2</v>
      </c>
      <c r="E66" s="1"/>
      <c r="F66" s="5">
        <f t="shared" ref="F66:F69" si="40">IF(D$12=0,0,D66/D$12)</f>
        <v>0</v>
      </c>
      <c r="G66" s="1"/>
      <c r="H66" s="1">
        <f>SUM(OSRRefH22_12x_0)</f>
        <v>290</v>
      </c>
      <c r="I66" s="1"/>
      <c r="J66" s="5">
        <f t="shared" ref="J66:J69" si="41">IF(H$12=0,0,H66/H$12)</f>
        <v>0</v>
      </c>
      <c r="K66" s="1"/>
      <c r="L66" s="1">
        <f t="shared" ref="L66:L69" si="42">+D66-H66</f>
        <v>49.199999999999989</v>
      </c>
      <c r="M66" s="1"/>
      <c r="N66" s="5">
        <f t="shared" ref="N66:N69" si="43">IF(H66=0,0,L66/H66)</f>
        <v>0.16965517241379308</v>
      </c>
      <c r="O66" s="14"/>
      <c r="P66" s="1">
        <f>SUM(OSRRefP22_12x_0)</f>
        <v>663.4</v>
      </c>
      <c r="Q66" s="1"/>
      <c r="R66" s="5">
        <f t="shared" ref="R66:R69" si="44">IF(P$12=0,0,P66/P$12)</f>
        <v>0</v>
      </c>
      <c r="S66" s="1"/>
      <c r="T66" s="1">
        <f>SUM(OSRRefT22_12x_0)</f>
        <v>580</v>
      </c>
      <c r="U66" s="1"/>
      <c r="V66" s="5">
        <f t="shared" ref="V66:V69" si="45">IF(T$12=0,0,T66/T$12)</f>
        <v>0</v>
      </c>
      <c r="W66" s="1"/>
      <c r="X66" s="1">
        <f t="shared" ref="X66:X69" si="46">+P66-T66</f>
        <v>83.399999999999977</v>
      </c>
      <c r="Y66" s="1"/>
      <c r="Z66" s="5">
        <f t="shared" ref="Z66:Z69" si="47">IF(T66=0,0,X66/T66)</f>
        <v>0.14379310344827581</v>
      </c>
    </row>
    <row r="67" spans="1:26" s="24" customFormat="1" hidden="1" outlineLevel="2" x14ac:dyDescent="0.25">
      <c r="A67" s="27"/>
      <c r="B67" s="11" t="str">
        <f>CONCATENATE("          ", "6309", " - ", "TELEPHONE")</f>
        <v xml:space="preserve">          6309 - TELEPHONE</v>
      </c>
      <c r="C67" s="11"/>
      <c r="D67" s="6">
        <v>339.2</v>
      </c>
      <c r="E67" s="2"/>
      <c r="F67" s="7">
        <f t="shared" si="40"/>
        <v>0</v>
      </c>
      <c r="G67" s="2"/>
      <c r="H67" s="6">
        <v>290</v>
      </c>
      <c r="I67" s="2"/>
      <c r="J67" s="7">
        <f t="shared" si="41"/>
        <v>0</v>
      </c>
      <c r="K67" s="2"/>
      <c r="L67" s="6">
        <f t="shared" si="42"/>
        <v>49.199999999999989</v>
      </c>
      <c r="M67" s="2"/>
      <c r="N67" s="7">
        <f t="shared" si="43"/>
        <v>0.16965517241379308</v>
      </c>
      <c r="O67" s="11"/>
      <c r="P67" s="6">
        <v>663.4</v>
      </c>
      <c r="Q67" s="2"/>
      <c r="R67" s="7">
        <f t="shared" si="44"/>
        <v>0</v>
      </c>
      <c r="S67" s="2"/>
      <c r="T67" s="6">
        <v>580</v>
      </c>
      <c r="U67" s="2"/>
      <c r="V67" s="7">
        <f t="shared" si="45"/>
        <v>0</v>
      </c>
      <c r="W67" s="2"/>
      <c r="X67" s="6">
        <f t="shared" si="46"/>
        <v>83.399999999999977</v>
      </c>
      <c r="Y67" s="2"/>
      <c r="Z67" s="7">
        <f t="shared" si="47"/>
        <v>0.14379310344827581</v>
      </c>
    </row>
    <row r="68" spans="1:26" s="29" customFormat="1" outlineLevel="1" collapsed="1" x14ac:dyDescent="0.25">
      <c r="A68" s="28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0</v>
      </c>
      <c r="E68" s="1"/>
      <c r="F68" s="5">
        <f t="shared" si="40"/>
        <v>0</v>
      </c>
      <c r="G68" s="1"/>
      <c r="H68" s="1">
        <f>SUM(OSRRefH22_13x_0)</f>
        <v>946</v>
      </c>
      <c r="I68" s="1"/>
      <c r="J68" s="5">
        <f t="shared" si="41"/>
        <v>0</v>
      </c>
      <c r="K68" s="1"/>
      <c r="L68" s="1">
        <f t="shared" si="42"/>
        <v>-946</v>
      </c>
      <c r="M68" s="1"/>
      <c r="N68" s="5">
        <f t="shared" si="43"/>
        <v>-1</v>
      </c>
      <c r="O68" s="14"/>
      <c r="P68" s="1">
        <f>SUM(OSRRefP22_13x_0)</f>
        <v>0</v>
      </c>
      <c r="Q68" s="1"/>
      <c r="R68" s="5">
        <f t="shared" si="44"/>
        <v>0</v>
      </c>
      <c r="S68" s="1"/>
      <c r="T68" s="1">
        <f>SUM(OSRRefT22_13x_0)</f>
        <v>1892</v>
      </c>
      <c r="U68" s="1"/>
      <c r="V68" s="5">
        <f t="shared" si="45"/>
        <v>0</v>
      </c>
      <c r="W68" s="1"/>
      <c r="X68" s="1">
        <f t="shared" si="46"/>
        <v>-1892</v>
      </c>
      <c r="Y68" s="1"/>
      <c r="Z68" s="5">
        <f t="shared" si="47"/>
        <v>-1</v>
      </c>
    </row>
    <row r="69" spans="1:26" s="24" customFormat="1" hidden="1" outlineLevel="2" x14ac:dyDescent="0.25">
      <c r="A69" s="27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40"/>
        <v>0</v>
      </c>
      <c r="G69" s="2"/>
      <c r="H69" s="6">
        <v>946</v>
      </c>
      <c r="I69" s="2"/>
      <c r="J69" s="7">
        <f t="shared" si="41"/>
        <v>0</v>
      </c>
      <c r="K69" s="2"/>
      <c r="L69" s="6">
        <f t="shared" si="42"/>
        <v>-946</v>
      </c>
      <c r="M69" s="2"/>
      <c r="N69" s="7">
        <f t="shared" si="43"/>
        <v>-1</v>
      </c>
      <c r="O69" s="11"/>
      <c r="P69" s="6"/>
      <c r="Q69" s="2"/>
      <c r="R69" s="7">
        <f t="shared" si="44"/>
        <v>0</v>
      </c>
      <c r="S69" s="2"/>
      <c r="T69" s="6">
        <v>1892</v>
      </c>
      <c r="U69" s="2"/>
      <c r="V69" s="7">
        <f t="shared" si="45"/>
        <v>0</v>
      </c>
      <c r="W69" s="2"/>
      <c r="X69" s="6">
        <f t="shared" si="46"/>
        <v>-1892</v>
      </c>
      <c r="Y69" s="2"/>
      <c r="Z69" s="7">
        <f t="shared" si="47"/>
        <v>-1</v>
      </c>
    </row>
    <row r="70" spans="1:26" s="61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2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2" customFormat="1" x14ac:dyDescent="0.25">
      <c r="A73" s="10"/>
      <c r="B73" s="26" t="s">
        <v>3</v>
      </c>
      <c r="C73" s="26"/>
      <c r="D73" s="21">
        <f>+D16-D18+D71</f>
        <v>-41292.079999999994</v>
      </c>
      <c r="E73" s="13"/>
      <c r="F73" s="20">
        <f>IF(D$12=0,0,D73/D$12)</f>
        <v>0</v>
      </c>
      <c r="G73" s="13"/>
      <c r="H73" s="21">
        <f>+H16-H18+H71</f>
        <v>-49905.525784615391</v>
      </c>
      <c r="I73" s="13"/>
      <c r="J73" s="20">
        <f>IF(H$12=0,0,H73/H$12)</f>
        <v>0</v>
      </c>
      <c r="K73" s="16"/>
      <c r="L73" s="21">
        <f>+D73-H73</f>
        <v>8613.4457846153964</v>
      </c>
      <c r="M73" s="16"/>
      <c r="N73" s="20">
        <f>IF(H73=0,0,L73/H73)</f>
        <v>-0.17259503129552647</v>
      </c>
      <c r="O73" s="25"/>
      <c r="P73" s="21">
        <f>+P16-P18+P71</f>
        <v>-92335.590000000011</v>
      </c>
      <c r="Q73" s="13"/>
      <c r="R73" s="20">
        <f>IF(P$12=0,0,P73/P$12)</f>
        <v>0</v>
      </c>
      <c r="S73" s="13"/>
      <c r="T73" s="21">
        <f>+T16-T18+T71</f>
        <v>-109018.68301538465</v>
      </c>
      <c r="U73" s="13"/>
      <c r="V73" s="20">
        <f>IF(T$12=0,0,T73/T$12)</f>
        <v>0</v>
      </c>
      <c r="W73" s="16"/>
      <c r="X73" s="21">
        <f>+P73-T73</f>
        <v>16683.093015384642</v>
      </c>
      <c r="Y73" s="16"/>
      <c r="Z73" s="20">
        <f>IF(T73=0,0,X73/T73)</f>
        <v>-0.1530296693552089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2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2" customFormat="1" ht="15.75" thickBot="1" x14ac:dyDescent="0.3">
      <c r="A77" s="10"/>
      <c r="B77" s="26" t="s">
        <v>4</v>
      </c>
      <c r="C77" s="26"/>
      <c r="D77" s="33">
        <f>+D73-D75</f>
        <v>-41292.079999999994</v>
      </c>
      <c r="E77" s="13"/>
      <c r="F77" s="31">
        <f>IF(D$12=0,0,D77/D$12)</f>
        <v>0</v>
      </c>
      <c r="G77" s="13"/>
      <c r="H77" s="33">
        <f>+H73-H75</f>
        <v>-49905.525784615391</v>
      </c>
      <c r="I77" s="13"/>
      <c r="J77" s="31">
        <f>IF(H$12=0,0,H77/H$12)</f>
        <v>0</v>
      </c>
      <c r="K77" s="16"/>
      <c r="L77" s="33">
        <f>D77-H77</f>
        <v>8613.4457846153964</v>
      </c>
      <c r="M77" s="16"/>
      <c r="N77" s="31">
        <f>IF(H77=0,0,L77/H77)</f>
        <v>-0.17259503129552647</v>
      </c>
      <c r="O77" s="25"/>
      <c r="P77" s="33">
        <f>+P73-P75</f>
        <v>-92335.590000000011</v>
      </c>
      <c r="Q77" s="13"/>
      <c r="R77" s="31">
        <f>IF(P$12=0,0,P77/P$12)</f>
        <v>0</v>
      </c>
      <c r="S77" s="13"/>
      <c r="T77" s="33">
        <f>+T73-T75</f>
        <v>-109018.68301538465</v>
      </c>
      <c r="U77" s="13"/>
      <c r="V77" s="31">
        <f>IF(T$12=0,0,T77/T$12)</f>
        <v>0</v>
      </c>
      <c r="W77" s="16"/>
      <c r="X77" s="33">
        <f>P77-T77</f>
        <v>16683.093015384642</v>
      </c>
      <c r="Y77" s="16"/>
      <c r="Z77" s="31">
        <f>IF(T77=0,0,X77/T77)</f>
        <v>-0.1530296693552089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ht="15.75" thickBot="1" x14ac:dyDescent="0.3">
      <c r="A80" s="10"/>
      <c r="B80" s="26" t="s">
        <v>5</v>
      </c>
      <c r="C80" s="26"/>
      <c r="D80" s="32">
        <f>SUM(D77:D79)</f>
        <v>-41292.079999999994</v>
      </c>
      <c r="E80" s="13"/>
      <c r="F80" s="35">
        <f>IF(D$12=0,0,D80/D$12)</f>
        <v>0</v>
      </c>
      <c r="G80" s="13"/>
      <c r="H80" s="32">
        <f>SUM(H77:H79)</f>
        <v>-49905.525784615391</v>
      </c>
      <c r="I80" s="13"/>
      <c r="J80" s="35">
        <f>IF(H$12=0,0,H80/H$12)</f>
        <v>0</v>
      </c>
      <c r="K80" s="16"/>
      <c r="L80" s="32">
        <f>+D80-H80</f>
        <v>8613.4457846153964</v>
      </c>
      <c r="M80" s="16"/>
      <c r="N80" s="35">
        <f>IF(H80=0,0,L80/H80)</f>
        <v>-0.17259503129552647</v>
      </c>
      <c r="O80" s="25"/>
      <c r="P80" s="32">
        <f>SUM(P77:P79)</f>
        <v>-92335.590000000011</v>
      </c>
      <c r="Q80" s="13"/>
      <c r="R80" s="35">
        <f>IF(P$12=0,0,P80/P$12)</f>
        <v>0</v>
      </c>
      <c r="S80" s="13"/>
      <c r="T80" s="32">
        <f>SUM(T77:T79)</f>
        <v>-109018.68301538465</v>
      </c>
      <c r="U80" s="13"/>
      <c r="V80" s="35">
        <f>IF(T$12=0,0,T80/T$12)</f>
        <v>0</v>
      </c>
      <c r="W80" s="16"/>
      <c r="X80" s="32">
        <f>+P80-T80</f>
        <v>16683.093015384642</v>
      </c>
      <c r="Y80" s="16"/>
      <c r="Z80" s="35">
        <f>IF(T80=0,0,X80/T80)</f>
        <v>-0.1530296693552089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9">
        <v>44113.689229826392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62" t="s">
        <v>314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63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","204", " - ", "Information Technology")</f>
        <v>Department 204 - Information Technology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49895.869999999995</v>
      </c>
      <c r="E18" s="19"/>
      <c r="F18" s="30">
        <f t="shared" ref="F18:F29" si="0">IF(D$12=0,0,D18/D$12)</f>
        <v>0</v>
      </c>
      <c r="G18" s="19"/>
      <c r="H18" s="19">
        <f>SUM(OSRRefH22x_0)</f>
        <v>51727.722846153818</v>
      </c>
      <c r="I18" s="19"/>
      <c r="J18" s="30">
        <f t="shared" ref="J18:J29" si="1">IF(H$12=0,0,H18/H$12)</f>
        <v>0</v>
      </c>
      <c r="K18" s="4"/>
      <c r="L18" s="19">
        <f t="shared" ref="L18:L29" si="2">+D18-H18</f>
        <v>-1831.8528461538226</v>
      </c>
      <c r="M18" s="4"/>
      <c r="N18" s="30">
        <f t="shared" ref="N18:N29" si="3">IF(H18=0,0,L18/H18)</f>
        <v>-3.5413367249937405E-2</v>
      </c>
      <c r="O18" s="10"/>
      <c r="P18" s="19">
        <f>SUM(OSRRefP22x_0)</f>
        <v>106804.62999999998</v>
      </c>
      <c r="Q18" s="19"/>
      <c r="R18" s="30">
        <f t="shared" ref="R18:R29" si="4">IF(P$12=0,0,P18/P$12)</f>
        <v>0</v>
      </c>
      <c r="S18" s="19"/>
      <c r="T18" s="19">
        <f>SUM(OSRRefT22x_0)</f>
        <v>101729.76676923079</v>
      </c>
      <c r="U18" s="19"/>
      <c r="V18" s="30">
        <f t="shared" ref="V18:V29" si="5">IF(T$12=0,0,T18/T$12)</f>
        <v>0</v>
      </c>
      <c r="W18" s="4"/>
      <c r="X18" s="19">
        <f t="shared" ref="X18:X29" si="6">+P18-T18</f>
        <v>5074.8632307691878</v>
      </c>
      <c r="Y18" s="4"/>
      <c r="Z18" s="30">
        <f t="shared" ref="Z18:Z29" si="7">IF(T18=0,0,X18/T18)</f>
        <v>4.9885725603610959E-2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12084.119999999999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1102.4740769230848</v>
      </c>
      <c r="M19" s="1"/>
      <c r="N19" s="5">
        <f t="shared" si="3"/>
        <v>0.10039242611222216</v>
      </c>
      <c r="O19" s="14"/>
      <c r="P19" s="1">
        <f>SUM(OSRRefP22_0x_0)</f>
        <v>25134.670000000002</v>
      </c>
      <c r="Q19" s="1"/>
      <c r="R19" s="5">
        <f t="shared" si="4"/>
        <v>0</v>
      </c>
      <c r="S19" s="1"/>
      <c r="T19" s="1">
        <f>SUM(OSRRefT22_0x_0)</f>
        <v>26239.843692307684</v>
      </c>
      <c r="U19" s="1"/>
      <c r="V19" s="5">
        <f t="shared" si="5"/>
        <v>0</v>
      </c>
      <c r="W19" s="1"/>
      <c r="X19" s="1">
        <f t="shared" si="6"/>
        <v>-1105.1736923076824</v>
      </c>
      <c r="Y19" s="1"/>
      <c r="Z19" s="5">
        <f t="shared" si="7"/>
        <v>-4.2118150750710015E-2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1651.98</v>
      </c>
      <c r="E20" s="2"/>
      <c r="F20" s="7">
        <f t="shared" si="0"/>
        <v>0</v>
      </c>
      <c r="G20" s="2"/>
      <c r="H20" s="6">
        <v>1606.5413076923101</v>
      </c>
      <c r="I20" s="2"/>
      <c r="J20" s="7">
        <f t="shared" si="1"/>
        <v>0</v>
      </c>
      <c r="K20" s="2"/>
      <c r="L20" s="6">
        <f t="shared" si="2"/>
        <v>45.438692307689962</v>
      </c>
      <c r="M20" s="2"/>
      <c r="N20" s="7">
        <f t="shared" si="3"/>
        <v>2.8283550563016412E-2</v>
      </c>
      <c r="O20" s="11"/>
      <c r="P20" s="6">
        <v>3306.08</v>
      </c>
      <c r="Q20" s="2"/>
      <c r="R20" s="7">
        <f t="shared" si="4"/>
        <v>0</v>
      </c>
      <c r="S20" s="2"/>
      <c r="T20" s="6">
        <v>4018.4136923076903</v>
      </c>
      <c r="U20" s="2"/>
      <c r="V20" s="7">
        <f t="shared" si="5"/>
        <v>0</v>
      </c>
      <c r="W20" s="2"/>
      <c r="X20" s="6">
        <f t="shared" si="6"/>
        <v>-712.3336923076904</v>
      </c>
      <c r="Y20" s="2"/>
      <c r="Z20" s="7">
        <f t="shared" si="7"/>
        <v>-0.17726738630004324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71.260000000000005</v>
      </c>
      <c r="E21" s="2"/>
      <c r="F21" s="7">
        <f t="shared" si="0"/>
        <v>0</v>
      </c>
      <c r="G21" s="2"/>
      <c r="H21" s="6">
        <v>69.274615384615402</v>
      </c>
      <c r="I21" s="2"/>
      <c r="J21" s="7">
        <f t="shared" si="1"/>
        <v>0</v>
      </c>
      <c r="K21" s="2"/>
      <c r="L21" s="6">
        <f t="shared" si="2"/>
        <v>1.9853846153846035</v>
      </c>
      <c r="M21" s="2"/>
      <c r="N21" s="7">
        <f t="shared" si="3"/>
        <v>2.8659626680879711E-2</v>
      </c>
      <c r="O21" s="11"/>
      <c r="P21" s="6">
        <v>142.61000000000001</v>
      </c>
      <c r="Q21" s="2"/>
      <c r="R21" s="7">
        <f t="shared" si="4"/>
        <v>0</v>
      </c>
      <c r="S21" s="2"/>
      <c r="T21" s="6">
        <v>173.27538461538441</v>
      </c>
      <c r="U21" s="2"/>
      <c r="V21" s="7">
        <f t="shared" si="5"/>
        <v>0</v>
      </c>
      <c r="W21" s="2"/>
      <c r="X21" s="6">
        <f t="shared" si="6"/>
        <v>-30.665384615384397</v>
      </c>
      <c r="Y21" s="2"/>
      <c r="Z21" s="7">
        <f t="shared" si="7"/>
        <v>-0.17697484662031876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4730.4807692307704</v>
      </c>
      <c r="I22" s="2"/>
      <c r="J22" s="7">
        <f t="shared" si="1"/>
        <v>0</v>
      </c>
      <c r="K22" s="2"/>
      <c r="L22" s="6">
        <f t="shared" si="2"/>
        <v>837.38923076922947</v>
      </c>
      <c r="M22" s="2"/>
      <c r="N22" s="7">
        <f t="shared" si="3"/>
        <v>0.17701989958737291</v>
      </c>
      <c r="O22" s="11"/>
      <c r="P22" s="6">
        <v>11135.74</v>
      </c>
      <c r="Q22" s="2"/>
      <c r="R22" s="7">
        <f t="shared" si="4"/>
        <v>0</v>
      </c>
      <c r="S22" s="2"/>
      <c r="T22" s="6">
        <v>11937.403846153849</v>
      </c>
      <c r="U22" s="2"/>
      <c r="V22" s="7">
        <f t="shared" si="5"/>
        <v>0</v>
      </c>
      <c r="W22" s="2"/>
      <c r="X22" s="6">
        <f t="shared" si="6"/>
        <v>-801.66384615384959</v>
      </c>
      <c r="Y22" s="2"/>
      <c r="Z22" s="7">
        <f t="shared" si="7"/>
        <v>-6.7155627512102661E-2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56.14</v>
      </c>
      <c r="E23" s="2"/>
      <c r="F23" s="7">
        <f t="shared" si="0"/>
        <v>0</v>
      </c>
      <c r="G23" s="2"/>
      <c r="H23" s="6">
        <v>54.58</v>
      </c>
      <c r="I23" s="2"/>
      <c r="J23" s="7">
        <f t="shared" si="1"/>
        <v>0</v>
      </c>
      <c r="K23" s="2"/>
      <c r="L23" s="6">
        <f t="shared" si="2"/>
        <v>1.5600000000000023</v>
      </c>
      <c r="M23" s="2"/>
      <c r="N23" s="7">
        <f t="shared" si="3"/>
        <v>2.8581898131183628E-2</v>
      </c>
      <c r="O23" s="11"/>
      <c r="P23" s="6">
        <v>112.36</v>
      </c>
      <c r="Q23" s="2"/>
      <c r="R23" s="7">
        <f t="shared" si="4"/>
        <v>0</v>
      </c>
      <c r="S23" s="2"/>
      <c r="T23" s="6">
        <v>136.52000000000001</v>
      </c>
      <c r="U23" s="2"/>
      <c r="V23" s="7">
        <f t="shared" si="5"/>
        <v>0</v>
      </c>
      <c r="W23" s="2"/>
      <c r="X23" s="6">
        <f t="shared" si="6"/>
        <v>-24.160000000000011</v>
      </c>
      <c r="Y23" s="2"/>
      <c r="Z23" s="7">
        <f t="shared" si="7"/>
        <v>-0.17697040726633467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1861.21</v>
      </c>
      <c r="E24" s="2"/>
      <c r="F24" s="7">
        <f t="shared" si="0"/>
        <v>0</v>
      </c>
      <c r="G24" s="2"/>
      <c r="H24" s="6">
        <v>1521.5384615384601</v>
      </c>
      <c r="I24" s="2"/>
      <c r="J24" s="7">
        <f t="shared" si="1"/>
        <v>0</v>
      </c>
      <c r="K24" s="2"/>
      <c r="L24" s="6">
        <f t="shared" si="2"/>
        <v>339.67153846153997</v>
      </c>
      <c r="M24" s="2"/>
      <c r="N24" s="7">
        <f t="shared" si="3"/>
        <v>0.22324216380182121</v>
      </c>
      <c r="O24" s="11"/>
      <c r="P24" s="6">
        <v>4653.0200000000004</v>
      </c>
      <c r="Q24" s="2"/>
      <c r="R24" s="7">
        <f t="shared" si="4"/>
        <v>0</v>
      </c>
      <c r="S24" s="2"/>
      <c r="T24" s="6">
        <v>3423.4615384615399</v>
      </c>
      <c r="U24" s="2"/>
      <c r="V24" s="7">
        <f t="shared" si="5"/>
        <v>0</v>
      </c>
      <c r="W24" s="2"/>
      <c r="X24" s="6">
        <f t="shared" si="6"/>
        <v>1229.5584615384605</v>
      </c>
      <c r="Y24" s="2"/>
      <c r="Z24" s="7">
        <f t="shared" si="7"/>
        <v>0.35915649926974452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300</v>
      </c>
      <c r="I25" s="2"/>
      <c r="J25" s="7">
        <f t="shared" si="1"/>
        <v>0</v>
      </c>
      <c r="K25" s="2"/>
      <c r="L25" s="6">
        <f t="shared" si="2"/>
        <v>-300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600</v>
      </c>
      <c r="U25" s="2"/>
      <c r="V25" s="7">
        <f t="shared" si="5"/>
        <v>0</v>
      </c>
      <c r="W25" s="2"/>
      <c r="X25" s="6">
        <f t="shared" si="6"/>
        <v>-600</v>
      </c>
      <c r="Y25" s="2"/>
      <c r="Z25" s="7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167.53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167.53</v>
      </c>
      <c r="M26" s="2"/>
      <c r="N26" s="7">
        <f t="shared" si="3"/>
        <v>0</v>
      </c>
      <c r="O26" s="11"/>
      <c r="P26" s="6">
        <v>419.05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419.05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1474.64</v>
      </c>
      <c r="E27" s="2"/>
      <c r="F27" s="7">
        <f t="shared" si="0"/>
        <v>0</v>
      </c>
      <c r="G27" s="2"/>
      <c r="H27" s="6">
        <v>1049.61538461538</v>
      </c>
      <c r="I27" s="2"/>
      <c r="J27" s="7">
        <f t="shared" si="1"/>
        <v>0</v>
      </c>
      <c r="K27" s="2"/>
      <c r="L27" s="6">
        <f t="shared" si="2"/>
        <v>425.02461538462012</v>
      </c>
      <c r="M27" s="2"/>
      <c r="N27" s="7">
        <f t="shared" si="3"/>
        <v>0.4049336753389583</v>
      </c>
      <c r="O27" s="11"/>
      <c r="P27" s="6">
        <v>2949.28</v>
      </c>
      <c r="Q27" s="2"/>
      <c r="R27" s="7">
        <f t="shared" si="4"/>
        <v>0</v>
      </c>
      <c r="S27" s="2"/>
      <c r="T27" s="6">
        <v>2375.3846153846098</v>
      </c>
      <c r="U27" s="2"/>
      <c r="V27" s="7">
        <f t="shared" si="5"/>
        <v>0</v>
      </c>
      <c r="W27" s="2"/>
      <c r="X27" s="6">
        <f t="shared" si="6"/>
        <v>573.89538461539041</v>
      </c>
      <c r="Y27" s="2"/>
      <c r="Z27" s="7">
        <f t="shared" si="7"/>
        <v>0.24160103626943305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999.04</v>
      </c>
      <c r="E28" s="2"/>
      <c r="F28" s="7">
        <f t="shared" si="0"/>
        <v>0</v>
      </c>
      <c r="G28" s="2"/>
      <c r="H28" s="6">
        <v>1049.61538461538</v>
      </c>
      <c r="I28" s="2"/>
      <c r="J28" s="7">
        <f t="shared" si="1"/>
        <v>0</v>
      </c>
      <c r="K28" s="2"/>
      <c r="L28" s="6">
        <f t="shared" si="2"/>
        <v>-50.575384615380017</v>
      </c>
      <c r="M28" s="2"/>
      <c r="N28" s="7">
        <f t="shared" si="3"/>
        <v>-4.8184683034074249E-2</v>
      </c>
      <c r="O28" s="11"/>
      <c r="P28" s="6">
        <v>1998.08</v>
      </c>
      <c r="Q28" s="2"/>
      <c r="R28" s="7">
        <f t="shared" si="4"/>
        <v>0</v>
      </c>
      <c r="S28" s="2"/>
      <c r="T28" s="6">
        <v>2375.3846153846098</v>
      </c>
      <c r="U28" s="2"/>
      <c r="V28" s="7">
        <f t="shared" si="5"/>
        <v>0</v>
      </c>
      <c r="W28" s="2"/>
      <c r="X28" s="6">
        <f t="shared" si="6"/>
        <v>-377.30461538460986</v>
      </c>
      <c r="Y28" s="2"/>
      <c r="Z28" s="7">
        <f t="shared" si="7"/>
        <v>-0.15883937823834002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234.45</v>
      </c>
      <c r="E29" s="2"/>
      <c r="F29" s="7">
        <f t="shared" si="0"/>
        <v>0</v>
      </c>
      <c r="G29" s="2"/>
      <c r="H29" s="6">
        <v>600</v>
      </c>
      <c r="I29" s="2"/>
      <c r="J29" s="7">
        <f t="shared" si="1"/>
        <v>0</v>
      </c>
      <c r="K29" s="2"/>
      <c r="L29" s="6">
        <f t="shared" si="2"/>
        <v>-365.55</v>
      </c>
      <c r="M29" s="2"/>
      <c r="N29" s="7">
        <f t="shared" si="3"/>
        <v>-0.60925000000000007</v>
      </c>
      <c r="O29" s="11"/>
      <c r="P29" s="6">
        <v>418.45</v>
      </c>
      <c r="Q29" s="2"/>
      <c r="R29" s="7">
        <f t="shared" si="4"/>
        <v>0</v>
      </c>
      <c r="S29" s="2"/>
      <c r="T29" s="6">
        <v>1200</v>
      </c>
      <c r="U29" s="2"/>
      <c r="V29" s="7">
        <f t="shared" si="5"/>
        <v>0</v>
      </c>
      <c r="W29" s="2"/>
      <c r="X29" s="6">
        <f t="shared" si="6"/>
        <v>-781.55</v>
      </c>
      <c r="Y29" s="2"/>
      <c r="Z29" s="7">
        <f t="shared" si="7"/>
        <v>-0.6512916666666666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19282.840000000004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389.76307692310365</v>
      </c>
      <c r="M30" s="1"/>
      <c r="N30" s="5">
        <f t="shared" ref="N30:N40" si="11">IF(H30=0,0,L30/H30)</f>
        <v>2.0629941777616359E-2</v>
      </c>
      <c r="O30" s="14"/>
      <c r="P30" s="1">
        <f>SUM(OSRRefP22_1x_0)</f>
        <v>44829.26</v>
      </c>
      <c r="Q30" s="1"/>
      <c r="R30" s="5">
        <f t="shared" ref="R30:R40" si="12">IF(P$12=0,0,P30/P$12)</f>
        <v>0</v>
      </c>
      <c r="S30" s="1"/>
      <c r="T30" s="1">
        <f>SUM(OSRRefT22_1x_0)</f>
        <v>47756.9230769231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-2927.6630769230978</v>
      </c>
      <c r="Y30" s="1"/>
      <c r="Z30" s="5">
        <f t="shared" ref="Z30:Z40" si="15">IF(T30=0,0,X30/T30)</f>
        <v>-6.1303427614200524E-2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17443.390000000003</v>
      </c>
      <c r="E32" s="2"/>
      <c r="F32" s="7">
        <f t="shared" si="8"/>
        <v>0</v>
      </c>
      <c r="G32" s="2"/>
      <c r="H32" s="6">
        <v>15923.0769230769</v>
      </c>
      <c r="I32" s="2"/>
      <c r="J32" s="7">
        <f t="shared" si="9"/>
        <v>0</v>
      </c>
      <c r="K32" s="2"/>
      <c r="L32" s="6">
        <f t="shared" si="10"/>
        <v>1520.3130769231029</v>
      </c>
      <c r="M32" s="2"/>
      <c r="N32" s="7">
        <f t="shared" si="11"/>
        <v>9.5478599033818196E-2</v>
      </c>
      <c r="O32" s="11"/>
      <c r="P32" s="6">
        <v>38800.47</v>
      </c>
      <c r="Q32" s="2"/>
      <c r="R32" s="7">
        <f t="shared" si="12"/>
        <v>0</v>
      </c>
      <c r="S32" s="2"/>
      <c r="T32" s="6">
        <v>35826.9230769231</v>
      </c>
      <c r="U32" s="2"/>
      <c r="V32" s="7">
        <f t="shared" si="13"/>
        <v>0</v>
      </c>
      <c r="W32" s="2"/>
      <c r="X32" s="6">
        <f t="shared" si="14"/>
        <v>2973.5469230769013</v>
      </c>
      <c r="Y32" s="2"/>
      <c r="Z32" s="7">
        <f t="shared" si="15"/>
        <v>8.2997552334942978E-2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2678.45</v>
      </c>
      <c r="E34" s="2"/>
      <c r="F34" s="7">
        <f t="shared" si="8"/>
        <v>0</v>
      </c>
      <c r="G34" s="2"/>
      <c r="H34" s="6">
        <v>2970</v>
      </c>
      <c r="I34" s="2"/>
      <c r="J34" s="7">
        <f t="shared" si="9"/>
        <v>0</v>
      </c>
      <c r="K34" s="2"/>
      <c r="L34" s="6">
        <f t="shared" si="10"/>
        <v>-291.55000000000018</v>
      </c>
      <c r="M34" s="2"/>
      <c r="N34" s="7">
        <f t="shared" si="11"/>
        <v>-9.8164983164983233E-2</v>
      </c>
      <c r="O34" s="11"/>
      <c r="P34" s="6">
        <v>6028.79</v>
      </c>
      <c r="Q34" s="2"/>
      <c r="R34" s="7">
        <f t="shared" si="12"/>
        <v>0</v>
      </c>
      <c r="S34" s="2"/>
      <c r="T34" s="6">
        <v>11930</v>
      </c>
      <c r="U34" s="2"/>
      <c r="V34" s="7">
        <f t="shared" si="13"/>
        <v>0</v>
      </c>
      <c r="W34" s="2"/>
      <c r="X34" s="6">
        <f t="shared" si="14"/>
        <v>-5901.21</v>
      </c>
      <c r="Y34" s="2"/>
      <c r="Z34" s="7">
        <f t="shared" si="15"/>
        <v>-0.49465297569153394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-839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-839</v>
      </c>
      <c r="M37" s="2"/>
      <c r="N37" s="7">
        <f t="shared" si="11"/>
        <v>0</v>
      </c>
      <c r="O37" s="11"/>
      <c r="P37" s="6">
        <v>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100</v>
      </c>
      <c r="U42" s="2"/>
      <c r="V42" s="7">
        <f t="shared" si="21"/>
        <v>0</v>
      </c>
      <c r="W42" s="2"/>
      <c r="X42" s="6">
        <f t="shared" si="22"/>
        <v>-100</v>
      </c>
      <c r="Y42" s="2"/>
      <c r="Z42" s="7">
        <f t="shared" si="23"/>
        <v>-1</v>
      </c>
    </row>
    <row r="43" spans="1:26" s="29" customFormat="1" outlineLevel="1" collapsed="1" x14ac:dyDescent="0.25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5462.14</v>
      </c>
      <c r="E43" s="1"/>
      <c r="F43" s="5">
        <f t="shared" si="16"/>
        <v>0</v>
      </c>
      <c r="G43" s="1"/>
      <c r="H43" s="1">
        <f>SUM(OSRRefH22_3x_0)</f>
        <v>5462</v>
      </c>
      <c r="I43" s="1"/>
      <c r="J43" s="5">
        <f t="shared" si="17"/>
        <v>0</v>
      </c>
      <c r="K43" s="1"/>
      <c r="L43" s="1">
        <f t="shared" si="18"/>
        <v>0.14000000000032742</v>
      </c>
      <c r="M43" s="1"/>
      <c r="N43" s="5">
        <f t="shared" si="19"/>
        <v>2.5631636763150389E-5</v>
      </c>
      <c r="O43" s="14"/>
      <c r="P43" s="1">
        <f>SUM(OSRRefP22_3x_0)</f>
        <v>10924.28</v>
      </c>
      <c r="Q43" s="1"/>
      <c r="R43" s="5">
        <f t="shared" si="20"/>
        <v>0</v>
      </c>
      <c r="S43" s="1"/>
      <c r="T43" s="1">
        <f>SUM(OSRRefT22_3x_0)</f>
        <v>5662</v>
      </c>
      <c r="U43" s="1"/>
      <c r="V43" s="5">
        <f t="shared" si="21"/>
        <v>0</v>
      </c>
      <c r="W43" s="1"/>
      <c r="X43" s="1">
        <f t="shared" si="22"/>
        <v>5262.2800000000007</v>
      </c>
      <c r="Y43" s="1"/>
      <c r="Z43" s="5">
        <f t="shared" si="23"/>
        <v>0.929403037795832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5462.14</v>
      </c>
      <c r="E44" s="2"/>
      <c r="F44" s="7">
        <f t="shared" si="16"/>
        <v>0</v>
      </c>
      <c r="G44" s="2"/>
      <c r="H44" s="6">
        <v>5462</v>
      </c>
      <c r="I44" s="2"/>
      <c r="J44" s="7">
        <f t="shared" si="17"/>
        <v>0</v>
      </c>
      <c r="K44" s="2"/>
      <c r="L44" s="6">
        <f t="shared" si="18"/>
        <v>0.14000000000032742</v>
      </c>
      <c r="M44" s="2"/>
      <c r="N44" s="7">
        <f t="shared" si="19"/>
        <v>2.5631636763150389E-5</v>
      </c>
      <c r="O44" s="11"/>
      <c r="P44" s="6">
        <v>10924.28</v>
      </c>
      <c r="Q44" s="2"/>
      <c r="R44" s="7">
        <f t="shared" si="20"/>
        <v>0</v>
      </c>
      <c r="S44" s="2"/>
      <c r="T44" s="6">
        <v>5562</v>
      </c>
      <c r="U44" s="2"/>
      <c r="V44" s="7">
        <f t="shared" si="21"/>
        <v>0</v>
      </c>
      <c r="W44" s="2"/>
      <c r="X44" s="6">
        <f t="shared" si="22"/>
        <v>5362.2800000000007</v>
      </c>
      <c r="Y44" s="2"/>
      <c r="Z44" s="7">
        <f t="shared" si="23"/>
        <v>0.96409205321826696</v>
      </c>
    </row>
    <row r="45" spans="1:26" s="24" customFormat="1" hidden="1" outlineLevel="2" x14ac:dyDescent="0.25">
      <c r="A45" s="27"/>
      <c r="B45" s="11" t="str">
        <f>CONCATENATE("          ", "6324", " - ", "FURNITURE + FIXT DEPRECIATION")</f>
        <v xml:space="preserve">          6324 - FURNITURE + FIXT DEPRECIATION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100</v>
      </c>
      <c r="U45" s="2"/>
      <c r="V45" s="7">
        <f t="shared" si="21"/>
        <v>0</v>
      </c>
      <c r="W45" s="2"/>
      <c r="X45" s="6">
        <f t="shared" si="22"/>
        <v>-100</v>
      </c>
      <c r="Y45" s="2"/>
      <c r="Z45" s="7">
        <f t="shared" si="23"/>
        <v>-1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0</v>
      </c>
      <c r="E46" s="1"/>
      <c r="F46" s="5">
        <f t="shared" ref="F46:F53" si="24">IF(D$12=0,0,D46/D$12)</f>
        <v>0</v>
      </c>
      <c r="G46" s="1"/>
      <c r="H46" s="1">
        <f>SUM(OSRRefH22_4x_0)</f>
        <v>0</v>
      </c>
      <c r="I46" s="1"/>
      <c r="J46" s="5">
        <f t="shared" ref="J46:J53" si="25">IF(H$12=0,0,H46/H$12)</f>
        <v>0</v>
      </c>
      <c r="K46" s="1"/>
      <c r="L46" s="1">
        <f t="shared" ref="L46:L53" si="26">+D46-H46</f>
        <v>0</v>
      </c>
      <c r="M46" s="1"/>
      <c r="N46" s="5">
        <f t="shared" ref="N46:N53" si="27">IF(H46=0,0,L46/H46)</f>
        <v>0</v>
      </c>
      <c r="O46" s="14"/>
      <c r="P46" s="1">
        <f>SUM(OSRRefP22_4x_0)</f>
        <v>0</v>
      </c>
      <c r="Q46" s="1"/>
      <c r="R46" s="5">
        <f t="shared" ref="R46:R53" si="28">IF(P$12=0,0,P46/P$12)</f>
        <v>0</v>
      </c>
      <c r="S46" s="1"/>
      <c r="T46" s="1">
        <f>SUM(OSRRefT22_4x_0)</f>
        <v>500</v>
      </c>
      <c r="U46" s="1"/>
      <c r="V46" s="5">
        <f t="shared" ref="V46:V53" si="29">IF(T$12=0,0,T46/T$12)</f>
        <v>0</v>
      </c>
      <c r="W46" s="1"/>
      <c r="X46" s="1">
        <f t="shared" ref="X46:X53" si="30">+P46-T46</f>
        <v>-500</v>
      </c>
      <c r="Y46" s="1"/>
      <c r="Z46" s="5">
        <f t="shared" ref="Z46:Z53" si="31">IF(T46=0,0,X46/T46)</f>
        <v>-1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500</v>
      </c>
      <c r="U47" s="2"/>
      <c r="V47" s="7">
        <f t="shared" si="29"/>
        <v>0</v>
      </c>
      <c r="W47" s="2"/>
      <c r="X47" s="6">
        <f t="shared" si="30"/>
        <v>-500</v>
      </c>
      <c r="Y47" s="2"/>
      <c r="Z47" s="7">
        <f t="shared" si="31"/>
        <v>-1</v>
      </c>
    </row>
    <row r="48" spans="1:26" s="29" customFormat="1" outlineLevel="1" collapsed="1" x14ac:dyDescent="0.25">
      <c r="A48" s="28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56.34</v>
      </c>
      <c r="E48" s="1"/>
      <c r="F48" s="5">
        <f t="shared" si="24"/>
        <v>0</v>
      </c>
      <c r="G48" s="1"/>
      <c r="H48" s="1">
        <f>SUM(OSRRefH22_5x_0)</f>
        <v>61</v>
      </c>
      <c r="I48" s="1"/>
      <c r="J48" s="5">
        <f t="shared" si="25"/>
        <v>0</v>
      </c>
      <c r="K48" s="1"/>
      <c r="L48" s="1">
        <f t="shared" si="26"/>
        <v>-4.6599999999999966</v>
      </c>
      <c r="M48" s="1"/>
      <c r="N48" s="5">
        <f t="shared" si="27"/>
        <v>-7.6393442622950766E-2</v>
      </c>
      <c r="O48" s="14"/>
      <c r="P48" s="1">
        <f>SUM(OSRRefP22_5x_0)</f>
        <v>112.68</v>
      </c>
      <c r="Q48" s="1"/>
      <c r="R48" s="5">
        <f t="shared" si="28"/>
        <v>0</v>
      </c>
      <c r="S48" s="1"/>
      <c r="T48" s="1">
        <f>SUM(OSRRefT22_5x_0)</f>
        <v>661</v>
      </c>
      <c r="U48" s="1"/>
      <c r="V48" s="5">
        <f t="shared" si="29"/>
        <v>0</v>
      </c>
      <c r="W48" s="1"/>
      <c r="X48" s="1">
        <f t="shared" si="30"/>
        <v>-548.31999999999994</v>
      </c>
      <c r="Y48" s="1"/>
      <c r="Z48" s="5">
        <f t="shared" si="31"/>
        <v>-0.82953101361573367</v>
      </c>
    </row>
    <row r="49" spans="1:26" s="24" customFormat="1" hidden="1" outlineLevel="2" x14ac:dyDescent="0.25">
      <c r="A49" s="27"/>
      <c r="B49" s="11" t="str">
        <f>CONCATENATE("          ", "6314", " - ", "LIABILITY INSURANCE")</f>
        <v xml:space="preserve">          6314 - LIABILITY INSURANCE</v>
      </c>
      <c r="C49" s="11"/>
      <c r="D49" s="6">
        <v>56.34</v>
      </c>
      <c r="E49" s="2"/>
      <c r="F49" s="7">
        <f t="shared" si="24"/>
        <v>0</v>
      </c>
      <c r="G49" s="2"/>
      <c r="H49" s="6">
        <v>61</v>
      </c>
      <c r="I49" s="2"/>
      <c r="J49" s="7">
        <f t="shared" si="25"/>
        <v>0</v>
      </c>
      <c r="K49" s="2"/>
      <c r="L49" s="6">
        <f t="shared" si="26"/>
        <v>-4.6599999999999966</v>
      </c>
      <c r="M49" s="2"/>
      <c r="N49" s="7">
        <f t="shared" si="27"/>
        <v>-7.6393442622950766E-2</v>
      </c>
      <c r="O49" s="11"/>
      <c r="P49" s="6">
        <v>112.68</v>
      </c>
      <c r="Q49" s="2"/>
      <c r="R49" s="7">
        <f t="shared" si="28"/>
        <v>0</v>
      </c>
      <c r="S49" s="2"/>
      <c r="T49" s="6">
        <v>661</v>
      </c>
      <c r="U49" s="2"/>
      <c r="V49" s="7">
        <f t="shared" si="29"/>
        <v>0</v>
      </c>
      <c r="W49" s="2"/>
      <c r="X49" s="6">
        <f t="shared" si="30"/>
        <v>-548.31999999999994</v>
      </c>
      <c r="Y49" s="2"/>
      <c r="Z49" s="7">
        <f t="shared" si="31"/>
        <v>-0.82953101361573367</v>
      </c>
    </row>
    <row r="50" spans="1:26" s="29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11992</v>
      </c>
      <c r="E50" s="1"/>
      <c r="F50" s="5">
        <f t="shared" si="24"/>
        <v>0</v>
      </c>
      <c r="G50" s="1"/>
      <c r="H50" s="1">
        <f>SUM(OSRRefH22_6x_0)</f>
        <v>14910</v>
      </c>
      <c r="I50" s="1"/>
      <c r="J50" s="5">
        <f t="shared" si="25"/>
        <v>0</v>
      </c>
      <c r="K50" s="1"/>
      <c r="L50" s="1">
        <f t="shared" si="26"/>
        <v>-2918</v>
      </c>
      <c r="M50" s="1"/>
      <c r="N50" s="5">
        <f t="shared" si="27"/>
        <v>-0.19570757880617035</v>
      </c>
      <c r="O50" s="14"/>
      <c r="P50" s="1">
        <f>SUM(OSRRefP22_6x_0)</f>
        <v>23984</v>
      </c>
      <c r="Q50" s="1"/>
      <c r="R50" s="5">
        <f t="shared" si="28"/>
        <v>0</v>
      </c>
      <c r="S50" s="1"/>
      <c r="T50" s="1">
        <f>SUM(OSRRefT22_6x_0)</f>
        <v>17370</v>
      </c>
      <c r="U50" s="1"/>
      <c r="V50" s="5">
        <f t="shared" si="29"/>
        <v>0</v>
      </c>
      <c r="W50" s="1"/>
      <c r="X50" s="1">
        <f t="shared" si="30"/>
        <v>6614</v>
      </c>
      <c r="Y50" s="1"/>
      <c r="Z50" s="5">
        <f t="shared" si="31"/>
        <v>0.3807714450201497</v>
      </c>
    </row>
    <row r="51" spans="1:26" s="24" customFormat="1" hidden="1" outlineLevel="2" x14ac:dyDescent="0.25">
      <c r="A51" s="27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>
        <v>660</v>
      </c>
      <c r="I51" s="2"/>
      <c r="J51" s="7">
        <f t="shared" si="25"/>
        <v>0</v>
      </c>
      <c r="K51" s="2"/>
      <c r="L51" s="6">
        <f t="shared" si="26"/>
        <v>-660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1320</v>
      </c>
      <c r="U51" s="2"/>
      <c r="V51" s="7">
        <f t="shared" si="29"/>
        <v>0</v>
      </c>
      <c r="W51" s="2"/>
      <c r="X51" s="6">
        <f t="shared" si="30"/>
        <v>-1320</v>
      </c>
      <c r="Y51" s="2"/>
      <c r="Z51" s="7">
        <f t="shared" si="31"/>
        <v>-1</v>
      </c>
    </row>
    <row r="52" spans="1:26" s="24" customFormat="1" hidden="1" outlineLevel="2" x14ac:dyDescent="0.25">
      <c r="A52" s="27"/>
      <c r="B52" s="11" t="str">
        <f>CONCATENATE("          ", "6372", " - ", "COMPUTER HARDWARE MAINTENANCE")</f>
        <v xml:space="preserve">          6372 - COMPUTER HARDWARE MAINTENANCE</v>
      </c>
      <c r="C52" s="11"/>
      <c r="D52" s="6"/>
      <c r="E52" s="2"/>
      <c r="F52" s="7">
        <f t="shared" si="24"/>
        <v>0</v>
      </c>
      <c r="G52" s="2"/>
      <c r="H52" s="6">
        <v>1600</v>
      </c>
      <c r="I52" s="2"/>
      <c r="J52" s="7">
        <f t="shared" si="25"/>
        <v>0</v>
      </c>
      <c r="K52" s="2"/>
      <c r="L52" s="6">
        <f t="shared" si="26"/>
        <v>-1600</v>
      </c>
      <c r="M52" s="2"/>
      <c r="N52" s="7">
        <f t="shared" si="27"/>
        <v>-1</v>
      </c>
      <c r="O52" s="11"/>
      <c r="P52" s="6"/>
      <c r="Q52" s="2"/>
      <c r="R52" s="7">
        <f t="shared" si="28"/>
        <v>0</v>
      </c>
      <c r="S52" s="2"/>
      <c r="T52" s="6">
        <v>3200</v>
      </c>
      <c r="U52" s="2"/>
      <c r="V52" s="7">
        <f t="shared" si="29"/>
        <v>0</v>
      </c>
      <c r="W52" s="2"/>
      <c r="X52" s="6">
        <f t="shared" si="30"/>
        <v>-3200</v>
      </c>
      <c r="Y52" s="2"/>
      <c r="Z52" s="7">
        <f t="shared" si="31"/>
        <v>-1</v>
      </c>
    </row>
    <row r="53" spans="1:26" s="24" customFormat="1" hidden="1" outlineLevel="2" x14ac:dyDescent="0.25">
      <c r="A53" s="27"/>
      <c r="B53" s="11" t="str">
        <f>CONCATENATE("          ", "6373", " - ", "MAINTENANCE CONTRACTS")</f>
        <v xml:space="preserve">          6373 - MAINTENANCE CONTRACTS</v>
      </c>
      <c r="C53" s="11"/>
      <c r="D53" s="6">
        <v>11992</v>
      </c>
      <c r="E53" s="2"/>
      <c r="F53" s="7">
        <f t="shared" si="24"/>
        <v>0</v>
      </c>
      <c r="G53" s="2"/>
      <c r="H53" s="6">
        <v>12650</v>
      </c>
      <c r="I53" s="2"/>
      <c r="J53" s="7">
        <f t="shared" si="25"/>
        <v>0</v>
      </c>
      <c r="K53" s="2"/>
      <c r="L53" s="6">
        <f t="shared" si="26"/>
        <v>-658</v>
      </c>
      <c r="M53" s="2"/>
      <c r="N53" s="7">
        <f t="shared" si="27"/>
        <v>-5.2015810276679841E-2</v>
      </c>
      <c r="O53" s="11"/>
      <c r="P53" s="6">
        <v>23984</v>
      </c>
      <c r="Q53" s="2"/>
      <c r="R53" s="7">
        <f t="shared" si="28"/>
        <v>0</v>
      </c>
      <c r="S53" s="2"/>
      <c r="T53" s="6">
        <v>12850</v>
      </c>
      <c r="U53" s="2"/>
      <c r="V53" s="7">
        <f t="shared" si="29"/>
        <v>0</v>
      </c>
      <c r="W53" s="2"/>
      <c r="X53" s="6">
        <f t="shared" si="30"/>
        <v>11134</v>
      </c>
      <c r="Y53" s="2"/>
      <c r="Z53" s="7">
        <f t="shared" si="31"/>
        <v>0.86645914396887158</v>
      </c>
    </row>
    <row r="54" spans="1:26" s="29" customFormat="1" outlineLevel="1" collapsed="1" x14ac:dyDescent="0.25">
      <c r="A54" s="28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SUM(OSRRefD22_7x_0)</f>
        <v>0</v>
      </c>
      <c r="E54" s="1"/>
      <c r="F54" s="5">
        <f t="shared" ref="F54:F56" si="32">IF(D$12=0,0,D54/D$12)</f>
        <v>0</v>
      </c>
      <c r="G54" s="1"/>
      <c r="H54" s="1">
        <f>SUM(OSRRefH22_7x_0)</f>
        <v>100</v>
      </c>
      <c r="I54" s="1"/>
      <c r="J54" s="5">
        <f t="shared" ref="J54:J56" si="33">IF(H$12=0,0,H54/H$12)</f>
        <v>0</v>
      </c>
      <c r="K54" s="1"/>
      <c r="L54" s="1">
        <f t="shared" ref="L54:L56" si="34">+D54-H54</f>
        <v>-100</v>
      </c>
      <c r="M54" s="1"/>
      <c r="N54" s="5">
        <f t="shared" ref="N54:N56" si="35">IF(H54=0,0,L54/H54)</f>
        <v>-1</v>
      </c>
      <c r="O54" s="14"/>
      <c r="P54" s="1">
        <f>SUM(OSRRefP22_7x_0)</f>
        <v>0</v>
      </c>
      <c r="Q54" s="1"/>
      <c r="R54" s="5">
        <f t="shared" ref="R54:R56" si="36">IF(P$12=0,0,P54/P$12)</f>
        <v>0</v>
      </c>
      <c r="S54" s="1"/>
      <c r="T54" s="1">
        <f>SUM(OSRRefT22_7x_0)</f>
        <v>800</v>
      </c>
      <c r="U54" s="1"/>
      <c r="V54" s="5">
        <f t="shared" ref="V54:V56" si="37">IF(T$12=0,0,T54/T$12)</f>
        <v>0</v>
      </c>
      <c r="W54" s="1"/>
      <c r="X54" s="1">
        <f t="shared" ref="X54:X56" si="38">+P54-T54</f>
        <v>-800</v>
      </c>
      <c r="Y54" s="1"/>
      <c r="Z54" s="5">
        <f t="shared" ref="Z54:Z56" si="39">IF(T54=0,0,X54/T54)</f>
        <v>-1</v>
      </c>
    </row>
    <row r="55" spans="1:26" s="24" customFormat="1" hidden="1" outlineLevel="2" x14ac:dyDescent="0.25">
      <c r="A55" s="27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/>
      <c r="Q55" s="2"/>
      <c r="R55" s="7">
        <f t="shared" si="36"/>
        <v>0</v>
      </c>
      <c r="S55" s="2"/>
      <c r="T55" s="6">
        <v>600</v>
      </c>
      <c r="U55" s="2"/>
      <c r="V55" s="7">
        <f t="shared" si="37"/>
        <v>0</v>
      </c>
      <c r="W55" s="2"/>
      <c r="X55" s="6">
        <f t="shared" si="38"/>
        <v>-600</v>
      </c>
      <c r="Y55" s="2"/>
      <c r="Z55" s="7">
        <f t="shared" si="39"/>
        <v>-1</v>
      </c>
    </row>
    <row r="56" spans="1:26" s="24" customFormat="1" hidden="1" outlineLevel="2" x14ac:dyDescent="0.25">
      <c r="A56" s="27"/>
      <c r="B56" s="11" t="str">
        <f>CONCATENATE("          ", "6275", " - ", "SUBSCRIPTIONS")</f>
        <v xml:space="preserve">          6275 - SUBSCRIPTIONS</v>
      </c>
      <c r="C56" s="11"/>
      <c r="D56" s="6"/>
      <c r="E56" s="2"/>
      <c r="F56" s="7">
        <f t="shared" si="32"/>
        <v>0</v>
      </c>
      <c r="G56" s="2"/>
      <c r="H56" s="6">
        <v>100</v>
      </c>
      <c r="I56" s="2"/>
      <c r="J56" s="7">
        <f t="shared" si="33"/>
        <v>0</v>
      </c>
      <c r="K56" s="2"/>
      <c r="L56" s="6">
        <f t="shared" si="34"/>
        <v>-100</v>
      </c>
      <c r="M56" s="2"/>
      <c r="N56" s="7">
        <f t="shared" si="35"/>
        <v>-1</v>
      </c>
      <c r="O56" s="11"/>
      <c r="P56" s="6"/>
      <c r="Q56" s="2"/>
      <c r="R56" s="7">
        <f t="shared" si="36"/>
        <v>0</v>
      </c>
      <c r="S56" s="2"/>
      <c r="T56" s="6">
        <v>200</v>
      </c>
      <c r="U56" s="2"/>
      <c r="V56" s="7">
        <f t="shared" si="37"/>
        <v>0</v>
      </c>
      <c r="W56" s="2"/>
      <c r="X56" s="6">
        <f t="shared" si="38"/>
        <v>-200</v>
      </c>
      <c r="Y56" s="2"/>
      <c r="Z56" s="7">
        <f t="shared" si="39"/>
        <v>-1</v>
      </c>
    </row>
    <row r="57" spans="1:26" s="29" customFormat="1" outlineLevel="1" collapsed="1" x14ac:dyDescent="0.25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11.38</v>
      </c>
      <c r="E57" s="1"/>
      <c r="F57" s="5">
        <f t="shared" ref="F57:F61" si="40">IF(D$12=0,0,D57/D$12)</f>
        <v>0</v>
      </c>
      <c r="G57" s="1"/>
      <c r="H57" s="1">
        <f>SUM(OSRRefH22_8x_0)</f>
        <v>300</v>
      </c>
      <c r="I57" s="1"/>
      <c r="J57" s="5">
        <f t="shared" ref="J57:J61" si="41">IF(H$12=0,0,H57/H$12)</f>
        <v>0</v>
      </c>
      <c r="K57" s="1"/>
      <c r="L57" s="1">
        <f t="shared" ref="L57:L61" si="42">+D57-H57</f>
        <v>-288.62</v>
      </c>
      <c r="M57" s="1"/>
      <c r="N57" s="5">
        <f t="shared" ref="N57:N61" si="43">IF(H57=0,0,L57/H57)</f>
        <v>-0.96206666666666674</v>
      </c>
      <c r="O57" s="14"/>
      <c r="P57" s="1">
        <f>SUM(OSRRefP22_8x_0)</f>
        <v>-44.08</v>
      </c>
      <c r="Q57" s="1"/>
      <c r="R57" s="5">
        <f t="shared" ref="R57:R61" si="44">IF(P$12=0,0,P57/P$12)</f>
        <v>0</v>
      </c>
      <c r="S57" s="1"/>
      <c r="T57" s="1">
        <f>SUM(OSRRefT22_8x_0)</f>
        <v>600</v>
      </c>
      <c r="U57" s="1"/>
      <c r="V57" s="5">
        <f t="shared" ref="V57:V61" si="45">IF(T$12=0,0,T57/T$12)</f>
        <v>0</v>
      </c>
      <c r="W57" s="1"/>
      <c r="X57" s="1">
        <f t="shared" ref="X57:X61" si="46">+P57-T57</f>
        <v>-644.08000000000004</v>
      </c>
      <c r="Y57" s="1"/>
      <c r="Z57" s="5">
        <f t="shared" ref="Z57:Z61" si="47">IF(T57=0,0,X57/T57)</f>
        <v>-1.0734666666666668</v>
      </c>
    </row>
    <row r="58" spans="1:26" s="24" customFormat="1" hidden="1" outlineLevel="2" x14ac:dyDescent="0.25">
      <c r="A58" s="27"/>
      <c r="B58" s="11" t="str">
        <f>CONCATENATE("          ", "6241", " - ", "OFFICE EXPENSE")</f>
        <v xml:space="preserve">          6241 - OFFICE EXPENSE</v>
      </c>
      <c r="C58" s="11"/>
      <c r="D58" s="6">
        <v>11.38</v>
      </c>
      <c r="E58" s="2"/>
      <c r="F58" s="7">
        <f t="shared" si="40"/>
        <v>0</v>
      </c>
      <c r="G58" s="2"/>
      <c r="H58" s="6">
        <v>300</v>
      </c>
      <c r="I58" s="2"/>
      <c r="J58" s="7">
        <f t="shared" si="41"/>
        <v>0</v>
      </c>
      <c r="K58" s="2"/>
      <c r="L58" s="6">
        <f t="shared" si="42"/>
        <v>-288.62</v>
      </c>
      <c r="M58" s="2"/>
      <c r="N58" s="7">
        <f t="shared" si="43"/>
        <v>-0.96206666666666674</v>
      </c>
      <c r="O58" s="11"/>
      <c r="P58" s="6">
        <v>-44.08</v>
      </c>
      <c r="Q58" s="2"/>
      <c r="R58" s="7">
        <f t="shared" si="44"/>
        <v>0</v>
      </c>
      <c r="S58" s="2"/>
      <c r="T58" s="6">
        <v>600</v>
      </c>
      <c r="U58" s="2"/>
      <c r="V58" s="7">
        <f t="shared" si="45"/>
        <v>0</v>
      </c>
      <c r="W58" s="2"/>
      <c r="X58" s="6">
        <f t="shared" si="46"/>
        <v>-644.08000000000004</v>
      </c>
      <c r="Y58" s="2"/>
      <c r="Z58" s="7">
        <f t="shared" si="47"/>
        <v>-1.0734666666666668</v>
      </c>
    </row>
    <row r="59" spans="1:26" s="29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SUM(OSRRefD22_9x_0)</f>
        <v>1007.05</v>
      </c>
      <c r="E59" s="1"/>
      <c r="F59" s="5">
        <f t="shared" si="40"/>
        <v>0</v>
      </c>
      <c r="G59" s="1"/>
      <c r="H59" s="1">
        <f>SUM(OSRRefH22_9x_0)</f>
        <v>395</v>
      </c>
      <c r="I59" s="1"/>
      <c r="J59" s="5">
        <f t="shared" si="41"/>
        <v>0</v>
      </c>
      <c r="K59" s="1"/>
      <c r="L59" s="1">
        <f t="shared" si="42"/>
        <v>612.04999999999995</v>
      </c>
      <c r="M59" s="1"/>
      <c r="N59" s="5">
        <f t="shared" si="43"/>
        <v>1.5494936708860758</v>
      </c>
      <c r="O59" s="14"/>
      <c r="P59" s="1">
        <f>SUM(OSRRefP22_9x_0)</f>
        <v>1863.82</v>
      </c>
      <c r="Q59" s="1"/>
      <c r="R59" s="5">
        <f t="shared" si="44"/>
        <v>0</v>
      </c>
      <c r="S59" s="1"/>
      <c r="T59" s="1">
        <f>SUM(OSRRefT22_9x_0)</f>
        <v>790</v>
      </c>
      <c r="U59" s="1"/>
      <c r="V59" s="5">
        <f t="shared" si="45"/>
        <v>0</v>
      </c>
      <c r="W59" s="1"/>
      <c r="X59" s="1">
        <f t="shared" si="46"/>
        <v>1073.82</v>
      </c>
      <c r="Y59" s="1"/>
      <c r="Z59" s="5">
        <f t="shared" si="47"/>
        <v>1.35926582278481</v>
      </c>
    </row>
    <row r="60" spans="1:26" s="24" customFormat="1" hidden="1" outlineLevel="2" x14ac:dyDescent="0.25">
      <c r="A60" s="27"/>
      <c r="B60" s="11" t="str">
        <f>CONCATENATE("          ", "6303", " - ", "DATA PHONE LINES")</f>
        <v xml:space="preserve">          6303 - DATA PHONE LINES</v>
      </c>
      <c r="C60" s="11"/>
      <c r="D60" s="6">
        <v>78.989999999999995</v>
      </c>
      <c r="E60" s="2"/>
      <c r="F60" s="7">
        <f t="shared" si="40"/>
        <v>0</v>
      </c>
      <c r="G60" s="2"/>
      <c r="H60" s="6">
        <v>335</v>
      </c>
      <c r="I60" s="2"/>
      <c r="J60" s="7">
        <f t="shared" si="41"/>
        <v>0</v>
      </c>
      <c r="K60" s="2"/>
      <c r="L60" s="6">
        <f t="shared" si="42"/>
        <v>-256.01</v>
      </c>
      <c r="M60" s="2"/>
      <c r="N60" s="7">
        <f t="shared" si="43"/>
        <v>-0.76420895522388055</v>
      </c>
      <c r="O60" s="11"/>
      <c r="P60" s="6">
        <v>157.97999999999999</v>
      </c>
      <c r="Q60" s="2"/>
      <c r="R60" s="7">
        <f t="shared" si="44"/>
        <v>0</v>
      </c>
      <c r="S60" s="2"/>
      <c r="T60" s="6">
        <v>670</v>
      </c>
      <c r="U60" s="2"/>
      <c r="V60" s="7">
        <f t="shared" si="45"/>
        <v>0</v>
      </c>
      <c r="W60" s="2"/>
      <c r="X60" s="6">
        <f t="shared" si="46"/>
        <v>-512.02</v>
      </c>
      <c r="Y60" s="2"/>
      <c r="Z60" s="7">
        <f t="shared" si="47"/>
        <v>-0.76420895522388055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6">
        <v>928.06</v>
      </c>
      <c r="E61" s="2"/>
      <c r="F61" s="7">
        <f t="shared" si="40"/>
        <v>0</v>
      </c>
      <c r="G61" s="2"/>
      <c r="H61" s="6">
        <v>60</v>
      </c>
      <c r="I61" s="2"/>
      <c r="J61" s="7">
        <f t="shared" si="41"/>
        <v>0</v>
      </c>
      <c r="K61" s="2"/>
      <c r="L61" s="6">
        <f t="shared" si="42"/>
        <v>868.06</v>
      </c>
      <c r="M61" s="2"/>
      <c r="N61" s="7">
        <f t="shared" si="43"/>
        <v>14.467666666666666</v>
      </c>
      <c r="O61" s="11"/>
      <c r="P61" s="6">
        <v>1705.84</v>
      </c>
      <c r="Q61" s="2"/>
      <c r="R61" s="7">
        <f t="shared" si="44"/>
        <v>0</v>
      </c>
      <c r="S61" s="2"/>
      <c r="T61" s="6">
        <v>120</v>
      </c>
      <c r="U61" s="2"/>
      <c r="V61" s="7">
        <f t="shared" si="45"/>
        <v>0</v>
      </c>
      <c r="W61" s="2"/>
      <c r="X61" s="6">
        <f t="shared" si="46"/>
        <v>1585.84</v>
      </c>
      <c r="Y61" s="2"/>
      <c r="Z61" s="7">
        <f t="shared" si="47"/>
        <v>13.215333333333332</v>
      </c>
    </row>
    <row r="62" spans="1:26" s="29" customFormat="1" outlineLevel="1" collapsed="1" x14ac:dyDescent="0.25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SUM(OSRRefD22_10x_0)</f>
        <v>0</v>
      </c>
      <c r="E62" s="1"/>
      <c r="F62" s="5">
        <f t="shared" ref="F62:F63" si="48">IF(D$12=0,0,D62/D$12)</f>
        <v>0</v>
      </c>
      <c r="G62" s="1"/>
      <c r="H62" s="1">
        <f>SUM(OSRRefH22_10x_0)</f>
        <v>625</v>
      </c>
      <c r="I62" s="1"/>
      <c r="J62" s="5">
        <f t="shared" ref="J62:J63" si="49">IF(H$12=0,0,H62/H$12)</f>
        <v>0</v>
      </c>
      <c r="K62" s="1"/>
      <c r="L62" s="1">
        <f t="shared" ref="L62:L63" si="50">+D62-H62</f>
        <v>-625</v>
      </c>
      <c r="M62" s="1"/>
      <c r="N62" s="5">
        <f t="shared" ref="N62:N63" si="51">IF(H62=0,0,L62/H62)</f>
        <v>-1</v>
      </c>
      <c r="O62" s="14"/>
      <c r="P62" s="1">
        <f>SUM(OSRRefP22_10x_0)</f>
        <v>0</v>
      </c>
      <c r="Q62" s="1"/>
      <c r="R62" s="5">
        <f t="shared" ref="R62:R63" si="52">IF(P$12=0,0,P62/P$12)</f>
        <v>0</v>
      </c>
      <c r="S62" s="1"/>
      <c r="T62" s="1">
        <f>SUM(OSRRefT22_10x_0)</f>
        <v>1250</v>
      </c>
      <c r="U62" s="1"/>
      <c r="V62" s="5">
        <f t="shared" ref="V62:V63" si="53">IF(T$12=0,0,T62/T$12)</f>
        <v>0</v>
      </c>
      <c r="W62" s="1"/>
      <c r="X62" s="1">
        <f t="shared" ref="X62:X63" si="54">+P62-T62</f>
        <v>-1250</v>
      </c>
      <c r="Y62" s="1"/>
      <c r="Z62" s="5">
        <f t="shared" ref="Z62:Z63" si="55">IF(T62=0,0,X62/T62)</f>
        <v>-1</v>
      </c>
    </row>
    <row r="63" spans="1:26" s="24" customFormat="1" hidden="1" outlineLevel="2" x14ac:dyDescent="0.25">
      <c r="A63" s="27"/>
      <c r="B63" s="11" t="str">
        <f>CONCATENATE("          ", "6292", " - ", "TRAVEL/CONFERENCE")</f>
        <v xml:space="preserve">          6292 - TRAVEL/CONFERENCE</v>
      </c>
      <c r="C63" s="11"/>
      <c r="D63" s="6"/>
      <c r="E63" s="2"/>
      <c r="F63" s="7">
        <f t="shared" si="48"/>
        <v>0</v>
      </c>
      <c r="G63" s="2"/>
      <c r="H63" s="6">
        <v>625</v>
      </c>
      <c r="I63" s="2"/>
      <c r="J63" s="7">
        <f t="shared" si="49"/>
        <v>0</v>
      </c>
      <c r="K63" s="2"/>
      <c r="L63" s="6">
        <f t="shared" si="50"/>
        <v>-625</v>
      </c>
      <c r="M63" s="2"/>
      <c r="N63" s="7">
        <f t="shared" si="51"/>
        <v>-1</v>
      </c>
      <c r="O63" s="11"/>
      <c r="P63" s="6"/>
      <c r="Q63" s="2"/>
      <c r="R63" s="7">
        <f t="shared" si="52"/>
        <v>0</v>
      </c>
      <c r="S63" s="2"/>
      <c r="T63" s="6">
        <v>1250</v>
      </c>
      <c r="U63" s="2"/>
      <c r="V63" s="7">
        <f t="shared" si="53"/>
        <v>0</v>
      </c>
      <c r="W63" s="2"/>
      <c r="X63" s="6">
        <f t="shared" si="54"/>
        <v>-1250</v>
      </c>
      <c r="Y63" s="2"/>
      <c r="Z63" s="7">
        <f t="shared" si="55"/>
        <v>-1</v>
      </c>
    </row>
    <row r="64" spans="1:26" s="61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2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2" customFormat="1" x14ac:dyDescent="0.25">
      <c r="A67" s="10"/>
      <c r="B67" s="26" t="s">
        <v>3</v>
      </c>
      <c r="C67" s="26"/>
      <c r="D67" s="21">
        <f>+D16-D18+D65</f>
        <v>-49895.869999999995</v>
      </c>
      <c r="E67" s="13"/>
      <c r="F67" s="20">
        <f>IF(D$12=0,0,D67/D$12)</f>
        <v>0</v>
      </c>
      <c r="G67" s="13"/>
      <c r="H67" s="21">
        <f>+H16-H18+H65</f>
        <v>-51727.722846153818</v>
      </c>
      <c r="I67" s="13"/>
      <c r="J67" s="20">
        <f>IF(H$12=0,0,H67/H$12)</f>
        <v>0</v>
      </c>
      <c r="K67" s="16"/>
      <c r="L67" s="21">
        <f>+D67-H67</f>
        <v>1831.8528461538226</v>
      </c>
      <c r="M67" s="16"/>
      <c r="N67" s="20">
        <f>IF(H67=0,0,L67/H67)</f>
        <v>-3.5413367249937405E-2</v>
      </c>
      <c r="O67" s="25"/>
      <c r="P67" s="21">
        <f>+P16-P18+P65</f>
        <v>-106804.62999999998</v>
      </c>
      <c r="Q67" s="13"/>
      <c r="R67" s="20">
        <f>IF(P$12=0,0,P67/P$12)</f>
        <v>0</v>
      </c>
      <c r="S67" s="13"/>
      <c r="T67" s="21">
        <f>+T16-T18+T65</f>
        <v>-101729.76676923079</v>
      </c>
      <c r="U67" s="13"/>
      <c r="V67" s="20">
        <f>IF(T$12=0,0,T67/T$12)</f>
        <v>0</v>
      </c>
      <c r="W67" s="16"/>
      <c r="X67" s="21">
        <f>+P67-T67</f>
        <v>-5074.8632307691878</v>
      </c>
      <c r="Y67" s="16"/>
      <c r="Z67" s="20">
        <f>IF(T67=0,0,X67/T67)</f>
        <v>4.9885725603610959E-2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2" customFormat="1" x14ac:dyDescent="0.25">
      <c r="A69" s="52"/>
      <c r="B69" s="10" t="s">
        <v>14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2" customFormat="1" ht="15.75" thickBot="1" x14ac:dyDescent="0.3">
      <c r="A71" s="10"/>
      <c r="B71" s="26" t="s">
        <v>4</v>
      </c>
      <c r="C71" s="26"/>
      <c r="D71" s="33">
        <f>+D67-D69</f>
        <v>-49895.869999999995</v>
      </c>
      <c r="E71" s="13"/>
      <c r="F71" s="31">
        <f>IF(D$12=0,0,D71/D$12)</f>
        <v>0</v>
      </c>
      <c r="G71" s="13"/>
      <c r="H71" s="33">
        <f>+H67-H69</f>
        <v>-51727.722846153818</v>
      </c>
      <c r="I71" s="13"/>
      <c r="J71" s="31">
        <f>IF(H$12=0,0,H71/H$12)</f>
        <v>0</v>
      </c>
      <c r="K71" s="16"/>
      <c r="L71" s="33">
        <f>D71-H71</f>
        <v>1831.8528461538226</v>
      </c>
      <c r="M71" s="16"/>
      <c r="N71" s="31">
        <f>IF(H71=0,0,L71/H71)</f>
        <v>-3.5413367249937405E-2</v>
      </c>
      <c r="O71" s="25"/>
      <c r="P71" s="33">
        <f>+P67-P69</f>
        <v>-106804.62999999998</v>
      </c>
      <c r="Q71" s="13"/>
      <c r="R71" s="31">
        <f>IF(P$12=0,0,P71/P$12)</f>
        <v>0</v>
      </c>
      <c r="S71" s="13"/>
      <c r="T71" s="33">
        <f>+T67-T69</f>
        <v>-101729.76676923079</v>
      </c>
      <c r="U71" s="13"/>
      <c r="V71" s="31">
        <f>IF(T$12=0,0,T71/T$12)</f>
        <v>0</v>
      </c>
      <c r="W71" s="16"/>
      <c r="X71" s="33">
        <f>P71-T71</f>
        <v>-5074.8632307691878</v>
      </c>
      <c r="Y71" s="16"/>
      <c r="Z71" s="31">
        <f>IF(T71=0,0,X71/T71)</f>
        <v>4.9885725603610959E-2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2" customFormat="1" ht="15.75" thickBot="1" x14ac:dyDescent="0.3">
      <c r="A74" s="10"/>
      <c r="B74" s="26" t="s">
        <v>5</v>
      </c>
      <c r="C74" s="26"/>
      <c r="D74" s="32">
        <f>SUM(D71:D73)</f>
        <v>-49895.869999999995</v>
      </c>
      <c r="E74" s="13"/>
      <c r="F74" s="35">
        <f>IF(D$12=0,0,D74/D$12)</f>
        <v>0</v>
      </c>
      <c r="G74" s="13"/>
      <c r="H74" s="32">
        <f>SUM(H71:H73)</f>
        <v>-51727.722846153818</v>
      </c>
      <c r="I74" s="13"/>
      <c r="J74" s="35">
        <f>IF(H$12=0,0,H74/H$12)</f>
        <v>0</v>
      </c>
      <c r="K74" s="16"/>
      <c r="L74" s="32">
        <f>+D74-H74</f>
        <v>1831.8528461538226</v>
      </c>
      <c r="M74" s="16"/>
      <c r="N74" s="35">
        <f>IF(H74=0,0,L74/H74)</f>
        <v>-3.5413367249937405E-2</v>
      </c>
      <c r="O74" s="25"/>
      <c r="P74" s="32">
        <f>SUM(P71:P73)</f>
        <v>-106804.62999999998</v>
      </c>
      <c r="Q74" s="13"/>
      <c r="R74" s="35">
        <f>IF(P$12=0,0,P74/P$12)</f>
        <v>0</v>
      </c>
      <c r="S74" s="13"/>
      <c r="T74" s="32">
        <f>SUM(T71:T73)</f>
        <v>-101729.76676923079</v>
      </c>
      <c r="U74" s="13"/>
      <c r="V74" s="35">
        <f>IF(T$12=0,0,T74/T$12)</f>
        <v>0</v>
      </c>
      <c r="W74" s="16"/>
      <c r="X74" s="32">
        <f>+P74-T74</f>
        <v>-5074.8632307691878</v>
      </c>
      <c r="Y74" s="16"/>
      <c r="Z74" s="35">
        <f>IF(T74=0,0,X74/T74)</f>
        <v>4.9885725603610959E-2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9">
        <v>44113.689248807874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2" t="s">
        <v>314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3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","205", " - ", "Maintenance")</f>
        <v>Department 205 - Maintenance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7276.8300000000008</v>
      </c>
      <c r="E18" s="19"/>
      <c r="F18" s="30">
        <f t="shared" ref="F18:F28" si="0">IF(D$12=0,0,D18/D$12)</f>
        <v>0</v>
      </c>
      <c r="G18" s="19"/>
      <c r="H18" s="19">
        <f>SUM(OSRRefH22x_0)</f>
        <v>7140.2521538461542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136.57784615384662</v>
      </c>
      <c r="M18" s="4"/>
      <c r="N18" s="30">
        <f t="shared" ref="N18:N28" si="3">IF(H18=0,0,L18/H18)</f>
        <v>1.9127874367892997E-2</v>
      </c>
      <c r="O18" s="10"/>
      <c r="P18" s="19">
        <f>SUM(OSRRefP22x_0)</f>
        <v>16656.09</v>
      </c>
      <c r="Q18" s="19"/>
      <c r="R18" s="30">
        <f t="shared" ref="R18:R28" si="4">IF(P$12=0,0,P18/P$12)</f>
        <v>0</v>
      </c>
      <c r="S18" s="19"/>
      <c r="T18" s="19">
        <f>SUM(OSRRefT22x_0)</f>
        <v>20671.317346153846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-4015.2273461538462</v>
      </c>
      <c r="Y18" s="4"/>
      <c r="Z18" s="30">
        <f t="shared" ref="Z18:Z28" si="7">IF(T18=0,0,X18/T18)</f>
        <v>-0.19424148344860706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2346.52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521.26784615384577</v>
      </c>
      <c r="M19" s="1"/>
      <c r="N19" s="5">
        <f t="shared" si="3"/>
        <v>0.28558675855028309</v>
      </c>
      <c r="O19" s="14"/>
      <c r="P19" s="1">
        <f>SUM(OSRRefP22_0x_0)</f>
        <v>4903.2799999999988</v>
      </c>
      <c r="Q19" s="1"/>
      <c r="R19" s="5">
        <f t="shared" si="4"/>
        <v>0</v>
      </c>
      <c r="S19" s="1"/>
      <c r="T19" s="1">
        <f>SUM(OSRRefT22_0x_0)</f>
        <v>4106.8173461538463</v>
      </c>
      <c r="U19" s="1"/>
      <c r="V19" s="5">
        <f t="shared" si="5"/>
        <v>0</v>
      </c>
      <c r="W19" s="1"/>
      <c r="X19" s="1">
        <f t="shared" si="6"/>
        <v>796.46265384615253</v>
      </c>
      <c r="Y19" s="1"/>
      <c r="Z19" s="5">
        <f t="shared" si="7"/>
        <v>0.19393671223095982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321.42599999999999</v>
      </c>
      <c r="I20" s="2"/>
      <c r="J20" s="7">
        <f t="shared" si="1"/>
        <v>0</v>
      </c>
      <c r="K20" s="2"/>
      <c r="L20" s="6">
        <f t="shared" si="2"/>
        <v>-5.5860000000000127</v>
      </c>
      <c r="M20" s="2"/>
      <c r="N20" s="7">
        <f t="shared" si="3"/>
        <v>-1.7378805697112285E-2</v>
      </c>
      <c r="O20" s="11"/>
      <c r="P20" s="6">
        <v>634.4</v>
      </c>
      <c r="Q20" s="2"/>
      <c r="R20" s="7">
        <f t="shared" si="4"/>
        <v>0</v>
      </c>
      <c r="S20" s="2"/>
      <c r="T20" s="6">
        <v>723.20849999999996</v>
      </c>
      <c r="U20" s="2"/>
      <c r="V20" s="7">
        <f t="shared" si="5"/>
        <v>0</v>
      </c>
      <c r="W20" s="2"/>
      <c r="X20" s="6">
        <f t="shared" si="6"/>
        <v>-88.808499999999981</v>
      </c>
      <c r="Y20" s="2"/>
      <c r="Z20" s="7">
        <f t="shared" si="7"/>
        <v>-0.12279792065497015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286.13</v>
      </c>
      <c r="E21" s="2"/>
      <c r="F21" s="7">
        <f t="shared" si="0"/>
        <v>0</v>
      </c>
      <c r="G21" s="2"/>
      <c r="H21" s="6">
        <v>291.06</v>
      </c>
      <c r="I21" s="2"/>
      <c r="J21" s="7">
        <f t="shared" si="1"/>
        <v>0</v>
      </c>
      <c r="K21" s="2"/>
      <c r="L21" s="6">
        <f t="shared" si="2"/>
        <v>-4.9300000000000068</v>
      </c>
      <c r="M21" s="2"/>
      <c r="N21" s="7">
        <f t="shared" si="3"/>
        <v>-1.6938088366659818E-2</v>
      </c>
      <c r="O21" s="11"/>
      <c r="P21" s="6">
        <v>574.72</v>
      </c>
      <c r="Q21" s="2"/>
      <c r="R21" s="7">
        <f t="shared" si="4"/>
        <v>0</v>
      </c>
      <c r="S21" s="2"/>
      <c r="T21" s="6">
        <v>654.88499999999999</v>
      </c>
      <c r="U21" s="2"/>
      <c r="V21" s="7">
        <f t="shared" si="5"/>
        <v>0</v>
      </c>
      <c r="W21" s="2"/>
      <c r="X21" s="6">
        <f t="shared" si="6"/>
        <v>-80.164999999999964</v>
      </c>
      <c r="Y21" s="2"/>
      <c r="Z21" s="7">
        <f t="shared" si="7"/>
        <v>-0.12241080495048744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82.31384615384593</v>
      </c>
      <c r="M22" s="2"/>
      <c r="N22" s="7">
        <f t="shared" si="3"/>
        <v>0.13409523809523768</v>
      </c>
      <c r="O22" s="11"/>
      <c r="P22" s="6">
        <v>1392.32</v>
      </c>
      <c r="Q22" s="2"/>
      <c r="R22" s="7">
        <f t="shared" si="4"/>
        <v>0</v>
      </c>
      <c r="S22" s="2"/>
      <c r="T22" s="6">
        <v>1381.153846153846</v>
      </c>
      <c r="U22" s="2"/>
      <c r="V22" s="7">
        <f t="shared" si="5"/>
        <v>0</v>
      </c>
      <c r="W22" s="2"/>
      <c r="X22" s="6">
        <f t="shared" si="6"/>
        <v>11.166153846153975</v>
      </c>
      <c r="Y22" s="2"/>
      <c r="Z22" s="7">
        <f t="shared" si="7"/>
        <v>8.0846560846561787E-3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10.92</v>
      </c>
      <c r="I23" s="2"/>
      <c r="J23" s="7">
        <f t="shared" si="1"/>
        <v>0</v>
      </c>
      <c r="K23" s="2"/>
      <c r="L23" s="6">
        <f t="shared" si="2"/>
        <v>-0.17999999999999972</v>
      </c>
      <c r="M23" s="2"/>
      <c r="N23" s="7">
        <f t="shared" si="3"/>
        <v>-1.6483516483516456E-2</v>
      </c>
      <c r="O23" s="11"/>
      <c r="P23" s="6">
        <v>21.57</v>
      </c>
      <c r="Q23" s="2"/>
      <c r="R23" s="7">
        <f t="shared" si="4"/>
        <v>0</v>
      </c>
      <c r="S23" s="2"/>
      <c r="T23" s="6">
        <v>24.57</v>
      </c>
      <c r="U23" s="2"/>
      <c r="V23" s="7">
        <f t="shared" si="5"/>
        <v>0</v>
      </c>
      <c r="W23" s="2"/>
      <c r="X23" s="6">
        <f t="shared" si="6"/>
        <v>-3</v>
      </c>
      <c r="Y23" s="2"/>
      <c r="Z23" s="7">
        <f t="shared" si="7"/>
        <v>-0.1221001221001221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463.27</v>
      </c>
      <c r="M24" s="2"/>
      <c r="N24" s="7">
        <f t="shared" si="3"/>
        <v>0</v>
      </c>
      <c r="O24" s="11"/>
      <c r="P24" s="6">
        <v>1158.18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1158.18</v>
      </c>
      <c r="Y24" s="2"/>
      <c r="Z24" s="7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226</v>
      </c>
      <c r="E26" s="2"/>
      <c r="F26" s="7">
        <f t="shared" si="0"/>
        <v>0</v>
      </c>
      <c r="G26" s="2"/>
      <c r="H26" s="6">
        <v>420</v>
      </c>
      <c r="I26" s="2"/>
      <c r="J26" s="7">
        <f t="shared" si="1"/>
        <v>0</v>
      </c>
      <c r="K26" s="2"/>
      <c r="L26" s="6">
        <f t="shared" si="2"/>
        <v>-194</v>
      </c>
      <c r="M26" s="2"/>
      <c r="N26" s="7">
        <f t="shared" si="3"/>
        <v>-0.46190476190476193</v>
      </c>
      <c r="O26" s="11"/>
      <c r="P26" s="6">
        <v>435.99</v>
      </c>
      <c r="Q26" s="2"/>
      <c r="R26" s="7">
        <f t="shared" si="4"/>
        <v>0</v>
      </c>
      <c r="S26" s="2"/>
      <c r="T26" s="6">
        <v>945</v>
      </c>
      <c r="U26" s="2"/>
      <c r="V26" s="7">
        <f t="shared" si="5"/>
        <v>0</v>
      </c>
      <c r="W26" s="2"/>
      <c r="X26" s="6">
        <f t="shared" si="6"/>
        <v>-509.01</v>
      </c>
      <c r="Y26" s="2"/>
      <c r="Z26" s="7">
        <f t="shared" si="7"/>
        <v>-0.53863492063492058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168</v>
      </c>
      <c r="I27" s="2"/>
      <c r="J27" s="7">
        <f t="shared" si="1"/>
        <v>0</v>
      </c>
      <c r="K27" s="2"/>
      <c r="L27" s="6">
        <f t="shared" si="2"/>
        <v>25.72</v>
      </c>
      <c r="M27" s="2"/>
      <c r="N27" s="7">
        <f t="shared" si="3"/>
        <v>0.15309523809523809</v>
      </c>
      <c r="O27" s="11"/>
      <c r="P27" s="6">
        <v>387.44</v>
      </c>
      <c r="Q27" s="2"/>
      <c r="R27" s="7">
        <f t="shared" si="4"/>
        <v>0</v>
      </c>
      <c r="S27" s="2"/>
      <c r="T27" s="6">
        <v>378</v>
      </c>
      <c r="U27" s="2"/>
      <c r="V27" s="7">
        <f t="shared" si="5"/>
        <v>0</v>
      </c>
      <c r="W27" s="2"/>
      <c r="X27" s="6">
        <f t="shared" si="6"/>
        <v>9.4399999999999977</v>
      </c>
      <c r="Y27" s="2"/>
      <c r="Z27" s="7">
        <f t="shared" si="7"/>
        <v>2.4973544973544967E-2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154.66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154.66</v>
      </c>
      <c r="M28" s="2"/>
      <c r="N28" s="7">
        <f t="shared" si="3"/>
        <v>0</v>
      </c>
      <c r="O28" s="11"/>
      <c r="P28" s="6">
        <v>298.66000000000003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298.66000000000003</v>
      </c>
      <c r="Y28" s="2"/>
      <c r="Z28" s="7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3989.75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251.75</v>
      </c>
      <c r="M29" s="1"/>
      <c r="N29" s="5">
        <f t="shared" ref="N29:N39" si="11">IF(H29=0,0,L29/H29)</f>
        <v>6.7348849652220433E-2</v>
      </c>
      <c r="O29" s="14"/>
      <c r="P29" s="1">
        <f>SUM(OSRRefP22_1x_0)</f>
        <v>9029.5</v>
      </c>
      <c r="Q29" s="1"/>
      <c r="R29" s="5">
        <f t="shared" ref="R29:R39" si="12">IF(P$12=0,0,P29/P$12)</f>
        <v>0</v>
      </c>
      <c r="S29" s="1"/>
      <c r="T29" s="1">
        <f>SUM(OSRRefT22_1x_0)</f>
        <v>8410.5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619</v>
      </c>
      <c r="Y29" s="1"/>
      <c r="Z29" s="5">
        <f t="shared" ref="Z29:Z39" si="15">IF(T29=0,0,X29/T29)</f>
        <v>7.3598478092860117E-2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3989.75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3989.75</v>
      </c>
      <c r="M31" s="2"/>
      <c r="N31" s="7">
        <f t="shared" si="11"/>
        <v>0</v>
      </c>
      <c r="O31" s="11"/>
      <c r="P31" s="6">
        <v>9029.5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9029.5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3738</v>
      </c>
      <c r="I33" s="2"/>
      <c r="J33" s="7">
        <f t="shared" si="9"/>
        <v>0</v>
      </c>
      <c r="K33" s="2"/>
      <c r="L33" s="6">
        <f t="shared" si="10"/>
        <v>-3738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8410.5</v>
      </c>
      <c r="U33" s="2"/>
      <c r="V33" s="7">
        <f t="shared" si="13"/>
        <v>0</v>
      </c>
      <c r="W33" s="2"/>
      <c r="X33" s="6">
        <f t="shared" si="14"/>
        <v>-8410.5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8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SUM(OSRRefD22_2x_0)</f>
        <v>24.56</v>
      </c>
      <c r="E40" s="1"/>
      <c r="F40" s="5">
        <f t="shared" ref="F40:F44" si="16">IF(D$12=0,0,D40/D$12)</f>
        <v>0</v>
      </c>
      <c r="G40" s="1"/>
      <c r="H40" s="1">
        <f>SUM(OSRRefH22_2x_0)</f>
        <v>27</v>
      </c>
      <c r="I40" s="1"/>
      <c r="J40" s="5">
        <f t="shared" ref="J40:J44" si="17">IF(H$12=0,0,H40/H$12)</f>
        <v>0</v>
      </c>
      <c r="K40" s="1"/>
      <c r="L40" s="1">
        <f t="shared" ref="L40:L44" si="18">+D40-H40</f>
        <v>-2.4400000000000013</v>
      </c>
      <c r="M40" s="1"/>
      <c r="N40" s="5">
        <f t="shared" ref="N40:N44" si="19">IF(H40=0,0,L40/H40)</f>
        <v>-9.037037037037042E-2</v>
      </c>
      <c r="O40" s="14"/>
      <c r="P40" s="1">
        <f>SUM(OSRRefP22_2x_0)</f>
        <v>49.12</v>
      </c>
      <c r="Q40" s="1"/>
      <c r="R40" s="5">
        <f t="shared" ref="R40:R44" si="20">IF(P$12=0,0,P40/P$12)</f>
        <v>0</v>
      </c>
      <c r="S40" s="1"/>
      <c r="T40" s="1">
        <f>SUM(OSRRefT22_2x_0)</f>
        <v>54</v>
      </c>
      <c r="U40" s="1"/>
      <c r="V40" s="5">
        <f t="shared" ref="V40:V44" si="21">IF(T$12=0,0,T40/T$12)</f>
        <v>0</v>
      </c>
      <c r="W40" s="1"/>
      <c r="X40" s="1">
        <f t="shared" ref="X40:X44" si="22">+P40-T40</f>
        <v>-4.8800000000000026</v>
      </c>
      <c r="Y40" s="1"/>
      <c r="Z40" s="5">
        <f t="shared" ref="Z40:Z44" si="23">IF(T40=0,0,X40/T40)</f>
        <v>-9.037037037037042E-2</v>
      </c>
    </row>
    <row r="41" spans="1:26" s="24" customFormat="1" hidden="1" outlineLevel="2" x14ac:dyDescent="0.25">
      <c r="A41" s="27"/>
      <c r="B41" s="11" t="str">
        <f>CONCATENATE("          ", "6314", " - ", "LIABILITY INSURANCE")</f>
        <v xml:space="preserve">          6314 - LIABILITY INSURANCE</v>
      </c>
      <c r="C41" s="11"/>
      <c r="D41" s="6">
        <v>24.56</v>
      </c>
      <c r="E41" s="2"/>
      <c r="F41" s="7">
        <f t="shared" si="16"/>
        <v>0</v>
      </c>
      <c r="G41" s="2"/>
      <c r="H41" s="6">
        <v>27</v>
      </c>
      <c r="I41" s="2"/>
      <c r="J41" s="7">
        <f t="shared" si="17"/>
        <v>0</v>
      </c>
      <c r="K41" s="2"/>
      <c r="L41" s="6">
        <f t="shared" si="18"/>
        <v>-2.4400000000000013</v>
      </c>
      <c r="M41" s="2"/>
      <c r="N41" s="7">
        <f t="shared" si="19"/>
        <v>-9.037037037037042E-2</v>
      </c>
      <c r="O41" s="11"/>
      <c r="P41" s="6">
        <v>49.12</v>
      </c>
      <c r="Q41" s="2"/>
      <c r="R41" s="7">
        <f t="shared" si="20"/>
        <v>0</v>
      </c>
      <c r="S41" s="2"/>
      <c r="T41" s="6">
        <v>54</v>
      </c>
      <c r="U41" s="2"/>
      <c r="V41" s="7">
        <f t="shared" si="21"/>
        <v>0</v>
      </c>
      <c r="W41" s="2"/>
      <c r="X41" s="6">
        <f t="shared" si="22"/>
        <v>-4.8800000000000026</v>
      </c>
      <c r="Y41" s="2"/>
      <c r="Z41" s="7">
        <f t="shared" si="23"/>
        <v>-9.037037037037042E-2</v>
      </c>
    </row>
    <row r="42" spans="1:26" s="29" customFormat="1" outlineLevel="1" collapsed="1" x14ac:dyDescent="0.25">
      <c r="A42" s="28"/>
      <c r="B42" s="14" t="str">
        <f>CONCATENATE("     ","Repair and Maintenance                            ")</f>
        <v xml:space="preserve">     Repair and Maintenance                            </v>
      </c>
      <c r="C42" s="14"/>
      <c r="D42" s="1">
        <f>SUM(OSRRefD22_3x_0)</f>
        <v>866</v>
      </c>
      <c r="E42" s="1"/>
      <c r="F42" s="5">
        <f t="shared" si="16"/>
        <v>0</v>
      </c>
      <c r="G42" s="1"/>
      <c r="H42" s="1">
        <f>SUM(OSRRefH22_3x_0)</f>
        <v>1500</v>
      </c>
      <c r="I42" s="1"/>
      <c r="J42" s="5">
        <f t="shared" si="17"/>
        <v>0</v>
      </c>
      <c r="K42" s="1"/>
      <c r="L42" s="1">
        <f t="shared" si="18"/>
        <v>-634</v>
      </c>
      <c r="M42" s="1"/>
      <c r="N42" s="5">
        <f t="shared" si="19"/>
        <v>-0.42266666666666669</v>
      </c>
      <c r="O42" s="14"/>
      <c r="P42" s="1">
        <f>SUM(OSRRefP22_3x_0)</f>
        <v>2551.19</v>
      </c>
      <c r="Q42" s="1"/>
      <c r="R42" s="5">
        <f t="shared" si="20"/>
        <v>0</v>
      </c>
      <c r="S42" s="1"/>
      <c r="T42" s="1">
        <f>SUM(OSRRefT22_3x_0)</f>
        <v>3000</v>
      </c>
      <c r="U42" s="1"/>
      <c r="V42" s="5">
        <f t="shared" si="21"/>
        <v>0</v>
      </c>
      <c r="W42" s="1"/>
      <c r="X42" s="1">
        <f t="shared" si="22"/>
        <v>-448.80999999999995</v>
      </c>
      <c r="Y42" s="1"/>
      <c r="Z42" s="5">
        <f t="shared" si="23"/>
        <v>-0.14960333333333331</v>
      </c>
    </row>
    <row r="43" spans="1:26" s="24" customFormat="1" hidden="1" outlineLevel="2" x14ac:dyDescent="0.25">
      <c r="A43" s="27"/>
      <c r="B43" s="11" t="str">
        <f>CONCATENATE("          ", "6373", " - ", "MAINTENANCE CONTRACTS")</f>
        <v xml:space="preserve">          6373 - MAINTENANCE CONTRACTS</v>
      </c>
      <c r="C43" s="11"/>
      <c r="D43" s="6">
        <v>866</v>
      </c>
      <c r="E43" s="2"/>
      <c r="F43" s="7">
        <f t="shared" si="16"/>
        <v>0</v>
      </c>
      <c r="G43" s="2"/>
      <c r="H43" s="6">
        <v>1500</v>
      </c>
      <c r="I43" s="2"/>
      <c r="J43" s="7">
        <f t="shared" si="17"/>
        <v>0</v>
      </c>
      <c r="K43" s="2"/>
      <c r="L43" s="6">
        <f t="shared" si="18"/>
        <v>-634</v>
      </c>
      <c r="M43" s="2"/>
      <c r="N43" s="7">
        <f t="shared" si="19"/>
        <v>-0.42266666666666669</v>
      </c>
      <c r="O43" s="11"/>
      <c r="P43" s="6">
        <v>1732</v>
      </c>
      <c r="Q43" s="2"/>
      <c r="R43" s="7">
        <f t="shared" si="20"/>
        <v>0</v>
      </c>
      <c r="S43" s="2"/>
      <c r="T43" s="6">
        <v>3000</v>
      </c>
      <c r="U43" s="2"/>
      <c r="V43" s="7">
        <f t="shared" si="21"/>
        <v>0</v>
      </c>
      <c r="W43" s="2"/>
      <c r="X43" s="6">
        <f t="shared" si="22"/>
        <v>-1268</v>
      </c>
      <c r="Y43" s="2"/>
      <c r="Z43" s="7">
        <f t="shared" si="23"/>
        <v>-0.42266666666666669</v>
      </c>
    </row>
    <row r="44" spans="1:26" s="24" customFormat="1" hidden="1" outlineLevel="2" x14ac:dyDescent="0.25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16"/>
        <v>0</v>
      </c>
      <c r="G44" s="2"/>
      <c r="H44" s="6"/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819.19</v>
      </c>
      <c r="Q44" s="2"/>
      <c r="R44" s="7">
        <f t="shared" si="20"/>
        <v>0</v>
      </c>
      <c r="S44" s="2"/>
      <c r="T44" s="6"/>
      <c r="U44" s="2"/>
      <c r="V44" s="7">
        <f t="shared" si="21"/>
        <v>0</v>
      </c>
      <c r="W44" s="2"/>
      <c r="X44" s="6">
        <f t="shared" si="22"/>
        <v>819.19</v>
      </c>
      <c r="Y44" s="2"/>
      <c r="Z44" s="7">
        <f t="shared" si="23"/>
        <v>0</v>
      </c>
    </row>
    <row r="45" spans="1:26" s="29" customFormat="1" outlineLevel="1" collapsed="1" x14ac:dyDescent="0.25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SUM(OSRRefD22_4x_0)</f>
        <v>0</v>
      </c>
      <c r="E45" s="1"/>
      <c r="F45" s="5">
        <f t="shared" ref="F45:F50" si="24">IF(D$12=0,0,D45/D$12)</f>
        <v>0</v>
      </c>
      <c r="G45" s="1"/>
      <c r="H45" s="1">
        <f>SUM(OSRRefH22_4x_0)</f>
        <v>25</v>
      </c>
      <c r="I45" s="1"/>
      <c r="J45" s="5">
        <f t="shared" ref="J45:J50" si="25">IF(H$12=0,0,H45/H$12)</f>
        <v>0</v>
      </c>
      <c r="K45" s="1"/>
      <c r="L45" s="1">
        <f t="shared" ref="L45:L50" si="26">+D45-H45</f>
        <v>-25</v>
      </c>
      <c r="M45" s="1"/>
      <c r="N45" s="5">
        <f t="shared" ref="N45:N50" si="27">IF(H45=0,0,L45/H45)</f>
        <v>-1</v>
      </c>
      <c r="O45" s="14"/>
      <c r="P45" s="1">
        <f>SUM(OSRRefP22_4x_0)</f>
        <v>0</v>
      </c>
      <c r="Q45" s="1"/>
      <c r="R45" s="5">
        <f t="shared" ref="R45:R50" si="28">IF(P$12=0,0,P45/P$12)</f>
        <v>0</v>
      </c>
      <c r="S45" s="1"/>
      <c r="T45" s="1">
        <f>SUM(OSRRefT22_4x_0)</f>
        <v>50</v>
      </c>
      <c r="U45" s="1"/>
      <c r="V45" s="5">
        <f t="shared" ref="V45:V50" si="29">IF(T$12=0,0,T45/T$12)</f>
        <v>0</v>
      </c>
      <c r="W45" s="1"/>
      <c r="X45" s="1">
        <f t="shared" ref="X45:X50" si="30">+P45-T45</f>
        <v>-50</v>
      </c>
      <c r="Y45" s="1"/>
      <c r="Z45" s="5">
        <f t="shared" ref="Z45:Z50" si="31">IF(T45=0,0,X45/T45)</f>
        <v>-1</v>
      </c>
    </row>
    <row r="46" spans="1:26" s="24" customFormat="1" hidden="1" outlineLevel="2" x14ac:dyDescent="0.25">
      <c r="A46" s="27"/>
      <c r="B46" s="11" t="str">
        <f>CONCATENATE("          ", "6286", " - ", "LAUNDRY EXPENSE")</f>
        <v xml:space="preserve">          6286 - LAUNDRY EXPENSE</v>
      </c>
      <c r="C46" s="11"/>
      <c r="D46" s="6"/>
      <c r="E46" s="2"/>
      <c r="F46" s="7">
        <f t="shared" si="24"/>
        <v>0</v>
      </c>
      <c r="G46" s="2"/>
      <c r="H46" s="6">
        <v>25</v>
      </c>
      <c r="I46" s="2"/>
      <c r="J46" s="7">
        <f t="shared" si="25"/>
        <v>0</v>
      </c>
      <c r="K46" s="2"/>
      <c r="L46" s="6">
        <f t="shared" si="26"/>
        <v>-25</v>
      </c>
      <c r="M46" s="2"/>
      <c r="N46" s="7">
        <f t="shared" si="27"/>
        <v>-1</v>
      </c>
      <c r="O46" s="11"/>
      <c r="P46" s="6"/>
      <c r="Q46" s="2"/>
      <c r="R46" s="7">
        <f t="shared" si="28"/>
        <v>0</v>
      </c>
      <c r="S46" s="2"/>
      <c r="T46" s="6">
        <v>50</v>
      </c>
      <c r="U46" s="2"/>
      <c r="V46" s="7">
        <f t="shared" si="29"/>
        <v>0</v>
      </c>
      <c r="W46" s="2"/>
      <c r="X46" s="6">
        <f t="shared" si="30"/>
        <v>-50</v>
      </c>
      <c r="Y46" s="2"/>
      <c r="Z46" s="7">
        <f t="shared" si="31"/>
        <v>-1</v>
      </c>
    </row>
    <row r="47" spans="1:26" s="29" customFormat="1" outlineLevel="1" collapsed="1" x14ac:dyDescent="0.25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SUM(OSRRefD22_5x_0)</f>
        <v>0</v>
      </c>
      <c r="E47" s="1"/>
      <c r="F47" s="5">
        <f t="shared" si="24"/>
        <v>0</v>
      </c>
      <c r="G47" s="1"/>
      <c r="H47" s="1">
        <f>SUM(OSRRefH22_5x_0)</f>
        <v>0</v>
      </c>
      <c r="I47" s="1"/>
      <c r="J47" s="5">
        <f t="shared" si="25"/>
        <v>0</v>
      </c>
      <c r="K47" s="1"/>
      <c r="L47" s="1">
        <f t="shared" si="26"/>
        <v>0</v>
      </c>
      <c r="M47" s="1"/>
      <c r="N47" s="5">
        <f t="shared" si="27"/>
        <v>0</v>
      </c>
      <c r="O47" s="14"/>
      <c r="P47" s="1">
        <f>SUM(OSRRefP22_5x_0)</f>
        <v>0</v>
      </c>
      <c r="Q47" s="1"/>
      <c r="R47" s="5">
        <f t="shared" si="28"/>
        <v>0</v>
      </c>
      <c r="S47" s="1"/>
      <c r="T47" s="1">
        <f>SUM(OSRRefT22_5x_0)</f>
        <v>5000</v>
      </c>
      <c r="U47" s="1"/>
      <c r="V47" s="5">
        <f t="shared" si="29"/>
        <v>0</v>
      </c>
      <c r="W47" s="1"/>
      <c r="X47" s="1">
        <f t="shared" si="30"/>
        <v>-5000</v>
      </c>
      <c r="Y47" s="1"/>
      <c r="Z47" s="5">
        <f t="shared" si="31"/>
        <v>-1</v>
      </c>
    </row>
    <row r="48" spans="1:26" s="24" customFormat="1" hidden="1" outlineLevel="2" x14ac:dyDescent="0.25">
      <c r="A48" s="27"/>
      <c r="B48" s="11" t="str">
        <f>CONCATENATE("          ", "6247", " - ", "STORE SUPPLIES")</f>
        <v xml:space="preserve">          6247 - STORE SUPPLIES</v>
      </c>
      <c r="C48" s="11"/>
      <c r="D48" s="6"/>
      <c r="E48" s="2"/>
      <c r="F48" s="7">
        <f t="shared" si="24"/>
        <v>0</v>
      </c>
      <c r="G48" s="2"/>
      <c r="H48" s="6"/>
      <c r="I48" s="2"/>
      <c r="J48" s="7">
        <f t="shared" si="25"/>
        <v>0</v>
      </c>
      <c r="K48" s="2"/>
      <c r="L48" s="6">
        <f t="shared" si="26"/>
        <v>0</v>
      </c>
      <c r="M48" s="2"/>
      <c r="N48" s="7">
        <f t="shared" si="27"/>
        <v>0</v>
      </c>
      <c r="O48" s="11"/>
      <c r="P48" s="6"/>
      <c r="Q48" s="2"/>
      <c r="R48" s="7">
        <f t="shared" si="28"/>
        <v>0</v>
      </c>
      <c r="S48" s="2"/>
      <c r="T48" s="6">
        <v>5000</v>
      </c>
      <c r="U48" s="2"/>
      <c r="V48" s="7">
        <f t="shared" si="29"/>
        <v>0</v>
      </c>
      <c r="W48" s="2"/>
      <c r="X48" s="6">
        <f t="shared" si="30"/>
        <v>-5000</v>
      </c>
      <c r="Y48" s="2"/>
      <c r="Z48" s="7">
        <f t="shared" si="31"/>
        <v>-1</v>
      </c>
    </row>
    <row r="49" spans="1:26" s="29" customFormat="1" outlineLevel="1" collapsed="1" x14ac:dyDescent="0.25">
      <c r="A49" s="28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50</v>
      </c>
      <c r="E49" s="1"/>
      <c r="F49" s="5">
        <f t="shared" si="24"/>
        <v>0</v>
      </c>
      <c r="G49" s="1"/>
      <c r="H49" s="1">
        <f>SUM(OSRRefH22_6x_0)</f>
        <v>25</v>
      </c>
      <c r="I49" s="1"/>
      <c r="J49" s="5">
        <f t="shared" si="25"/>
        <v>0</v>
      </c>
      <c r="K49" s="1"/>
      <c r="L49" s="1">
        <f t="shared" si="26"/>
        <v>25</v>
      </c>
      <c r="M49" s="1"/>
      <c r="N49" s="5">
        <f t="shared" si="27"/>
        <v>1</v>
      </c>
      <c r="O49" s="14"/>
      <c r="P49" s="1">
        <f>SUM(OSRRefP22_6x_0)</f>
        <v>123</v>
      </c>
      <c r="Q49" s="1"/>
      <c r="R49" s="5">
        <f t="shared" si="28"/>
        <v>0</v>
      </c>
      <c r="S49" s="1"/>
      <c r="T49" s="1">
        <f>SUM(OSRRefT22_6x_0)</f>
        <v>50</v>
      </c>
      <c r="U49" s="1"/>
      <c r="V49" s="5">
        <f t="shared" si="29"/>
        <v>0</v>
      </c>
      <c r="W49" s="1"/>
      <c r="X49" s="1">
        <f t="shared" si="30"/>
        <v>73</v>
      </c>
      <c r="Y49" s="1"/>
      <c r="Z49" s="5">
        <f t="shared" si="31"/>
        <v>1.46</v>
      </c>
    </row>
    <row r="50" spans="1:26" s="24" customFormat="1" hidden="1" outlineLevel="2" x14ac:dyDescent="0.25">
      <c r="A50" s="27"/>
      <c r="B50" s="11" t="str">
        <f>CONCATENATE("          ", "6309", " - ", "TELEPHONE")</f>
        <v xml:space="preserve">          6309 - TELEPHONE</v>
      </c>
      <c r="C50" s="11"/>
      <c r="D50" s="6">
        <v>50</v>
      </c>
      <c r="E50" s="2"/>
      <c r="F50" s="7">
        <f t="shared" si="24"/>
        <v>0</v>
      </c>
      <c r="G50" s="2"/>
      <c r="H50" s="6">
        <v>25</v>
      </c>
      <c r="I50" s="2"/>
      <c r="J50" s="7">
        <f t="shared" si="25"/>
        <v>0</v>
      </c>
      <c r="K50" s="2"/>
      <c r="L50" s="6">
        <f t="shared" si="26"/>
        <v>25</v>
      </c>
      <c r="M50" s="2"/>
      <c r="N50" s="7">
        <f t="shared" si="27"/>
        <v>1</v>
      </c>
      <c r="O50" s="11"/>
      <c r="P50" s="6">
        <v>123</v>
      </c>
      <c r="Q50" s="2"/>
      <c r="R50" s="7">
        <f t="shared" si="28"/>
        <v>0</v>
      </c>
      <c r="S50" s="2"/>
      <c r="T50" s="6">
        <v>50</v>
      </c>
      <c r="U50" s="2"/>
      <c r="V50" s="7">
        <f t="shared" si="29"/>
        <v>0</v>
      </c>
      <c r="W50" s="2"/>
      <c r="X50" s="6">
        <f t="shared" si="30"/>
        <v>73</v>
      </c>
      <c r="Y50" s="2"/>
      <c r="Z50" s="7">
        <f t="shared" si="31"/>
        <v>1.46</v>
      </c>
    </row>
    <row r="51" spans="1:26" s="61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2" customFormat="1" x14ac:dyDescent="0.25">
      <c r="A52" s="10"/>
      <c r="B52" s="25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2" customFormat="1" x14ac:dyDescent="0.25">
      <c r="A54" s="10"/>
      <c r="B54" s="26" t="s">
        <v>3</v>
      </c>
      <c r="C54" s="26"/>
      <c r="D54" s="21">
        <f>+D16-D18+D52</f>
        <v>-7276.8300000000008</v>
      </c>
      <c r="E54" s="13"/>
      <c r="F54" s="20">
        <f>IF(D$12=0,0,D54/D$12)</f>
        <v>0</v>
      </c>
      <c r="G54" s="13"/>
      <c r="H54" s="21">
        <f>+H16-H18+H52</f>
        <v>-7140.2521538461542</v>
      </c>
      <c r="I54" s="13"/>
      <c r="J54" s="20">
        <f>IF(H$12=0,0,H54/H$12)</f>
        <v>0</v>
      </c>
      <c r="K54" s="16"/>
      <c r="L54" s="21">
        <f>+D54-H54</f>
        <v>-136.57784615384662</v>
      </c>
      <c r="M54" s="16"/>
      <c r="N54" s="20">
        <f>IF(H54=0,0,L54/H54)</f>
        <v>1.9127874367892997E-2</v>
      </c>
      <c r="O54" s="25"/>
      <c r="P54" s="21">
        <f>+P16-P18+P52</f>
        <v>-16656.09</v>
      </c>
      <c r="Q54" s="13"/>
      <c r="R54" s="20">
        <f>IF(P$12=0,0,P54/P$12)</f>
        <v>0</v>
      </c>
      <c r="S54" s="13"/>
      <c r="T54" s="21">
        <f>+T16-T18+T52</f>
        <v>-20671.317346153846</v>
      </c>
      <c r="U54" s="13"/>
      <c r="V54" s="20">
        <f>IF(T$12=0,0,T54/T$12)</f>
        <v>0</v>
      </c>
      <c r="W54" s="16"/>
      <c r="X54" s="21">
        <f>+P54-T54</f>
        <v>4015.2273461538462</v>
      </c>
      <c r="Y54" s="16"/>
      <c r="Z54" s="20">
        <f>IF(T54=0,0,X54/T54)</f>
        <v>-0.19424148344860706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2" customFormat="1" x14ac:dyDescent="0.25">
      <c r="A56" s="52"/>
      <c r="B56" s="10" t="s">
        <v>14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2" customFormat="1" ht="15.75" thickBot="1" x14ac:dyDescent="0.3">
      <c r="A58" s="10"/>
      <c r="B58" s="26" t="s">
        <v>4</v>
      </c>
      <c r="C58" s="26"/>
      <c r="D58" s="33">
        <f>+D54-D56</f>
        <v>-7276.8300000000008</v>
      </c>
      <c r="E58" s="13"/>
      <c r="F58" s="31">
        <f>IF(D$12=0,0,D58/D$12)</f>
        <v>0</v>
      </c>
      <c r="G58" s="13"/>
      <c r="H58" s="33">
        <f>+H54-H56</f>
        <v>-7140.2521538461542</v>
      </c>
      <c r="I58" s="13"/>
      <c r="J58" s="31">
        <f>IF(H$12=0,0,H58/H$12)</f>
        <v>0</v>
      </c>
      <c r="K58" s="16"/>
      <c r="L58" s="33">
        <f>D58-H58</f>
        <v>-136.57784615384662</v>
      </c>
      <c r="M58" s="16"/>
      <c r="N58" s="31">
        <f>IF(H58=0,0,L58/H58)</f>
        <v>1.9127874367892997E-2</v>
      </c>
      <c r="O58" s="25"/>
      <c r="P58" s="33">
        <f>+P54-P56</f>
        <v>-16656.09</v>
      </c>
      <c r="Q58" s="13"/>
      <c r="R58" s="31">
        <f>IF(P$12=0,0,P58/P$12)</f>
        <v>0</v>
      </c>
      <c r="S58" s="13"/>
      <c r="T58" s="33">
        <f>+T54-T56</f>
        <v>-20671.317346153846</v>
      </c>
      <c r="U58" s="13"/>
      <c r="V58" s="31">
        <f>IF(T$12=0,0,T58/T$12)</f>
        <v>0</v>
      </c>
      <c r="W58" s="16"/>
      <c r="X58" s="33">
        <f>P58-T58</f>
        <v>4015.2273461538462</v>
      </c>
      <c r="Y58" s="16"/>
      <c r="Z58" s="31">
        <f>IF(T58=0,0,X58/T58)</f>
        <v>-0.19424148344860706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2" customFormat="1" ht="15.75" thickBot="1" x14ac:dyDescent="0.3">
      <c r="A61" s="10"/>
      <c r="B61" s="26" t="s">
        <v>5</v>
      </c>
      <c r="C61" s="26"/>
      <c r="D61" s="32">
        <f>SUM(D58:D60)</f>
        <v>-7276.8300000000008</v>
      </c>
      <c r="E61" s="13"/>
      <c r="F61" s="35">
        <f>IF(D$12=0,0,D61/D$12)</f>
        <v>0</v>
      </c>
      <c r="G61" s="13"/>
      <c r="H61" s="32">
        <f>SUM(H58:H60)</f>
        <v>-7140.2521538461542</v>
      </c>
      <c r="I61" s="13"/>
      <c r="J61" s="35">
        <f>IF(H$12=0,0,H61/H$12)</f>
        <v>0</v>
      </c>
      <c r="K61" s="16"/>
      <c r="L61" s="32">
        <f>+D61-H61</f>
        <v>-136.57784615384662</v>
      </c>
      <c r="M61" s="16"/>
      <c r="N61" s="35">
        <f>IF(H61=0,0,L61/H61)</f>
        <v>1.9127874367892997E-2</v>
      </c>
      <c r="O61" s="25"/>
      <c r="P61" s="32">
        <f>SUM(P58:P60)</f>
        <v>-16656.09</v>
      </c>
      <c r="Q61" s="13"/>
      <c r="R61" s="35">
        <f>IF(P$12=0,0,P61/P$12)</f>
        <v>0</v>
      </c>
      <c r="S61" s="13"/>
      <c r="T61" s="32">
        <f>SUM(T58:T60)</f>
        <v>-20671.317346153846</v>
      </c>
      <c r="U61" s="13"/>
      <c r="V61" s="35">
        <f>IF(T$12=0,0,T61/T$12)</f>
        <v>0</v>
      </c>
      <c r="W61" s="16"/>
      <c r="X61" s="32">
        <f>+P61-T61</f>
        <v>4015.2273461538462</v>
      </c>
      <c r="Y61" s="16"/>
      <c r="Z61" s="35">
        <f>IF(T61=0,0,X61/T61)</f>
        <v>-0.19424148344860706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9">
        <v>44113.689263391207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2" t="s">
        <v>314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3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","206", " - ", "Graphics")</f>
        <v>Department 206 - Graphics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8415.8599999999988</v>
      </c>
      <c r="E18" s="19"/>
      <c r="F18" s="30">
        <f t="shared" ref="F18:F28" si="0">IF(D$12=0,0,D18/D$12)</f>
        <v>0</v>
      </c>
      <c r="G18" s="19"/>
      <c r="H18" s="19">
        <f>SUM(OSRRefH22x_0)</f>
        <v>17483.426153846154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-9067.5661538461554</v>
      </c>
      <c r="M18" s="4"/>
      <c r="N18" s="30">
        <f t="shared" ref="N18:N28" si="3">IF(H18=0,0,L18/H18)</f>
        <v>-0.5186378272802894</v>
      </c>
      <c r="O18" s="10"/>
      <c r="P18" s="19">
        <f>SUM(OSRRefP22x_0)</f>
        <v>18771.919999999998</v>
      </c>
      <c r="Q18" s="19"/>
      <c r="R18" s="30">
        <f t="shared" ref="R18:R28" si="4">IF(P$12=0,0,P18/P$12)</f>
        <v>0</v>
      </c>
      <c r="S18" s="19"/>
      <c r="T18" s="19">
        <f>SUM(OSRRefT22x_0)</f>
        <v>42067.958846153844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-23296.038846153846</v>
      </c>
      <c r="Y18" s="4"/>
      <c r="Z18" s="30">
        <f t="shared" ref="Z18:Z28" si="7">IF(T18=0,0,X18/T18)</f>
        <v>-0.55377155167783321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1529.65</v>
      </c>
      <c r="E19" s="1"/>
      <c r="F19" s="5">
        <f t="shared" si="0"/>
        <v>0</v>
      </c>
      <c r="G19" s="1"/>
      <c r="H19" s="1">
        <f>SUM(OSRRefH22_0x_0)</f>
        <v>1703.426153846154</v>
      </c>
      <c r="I19" s="1"/>
      <c r="J19" s="5">
        <f t="shared" si="1"/>
        <v>0</v>
      </c>
      <c r="K19" s="1"/>
      <c r="L19" s="1">
        <f t="shared" si="2"/>
        <v>-173.77615384615387</v>
      </c>
      <c r="M19" s="1"/>
      <c r="N19" s="5">
        <f t="shared" si="3"/>
        <v>-0.10201566616421023</v>
      </c>
      <c r="O19" s="14"/>
      <c r="P19" s="1">
        <f>SUM(OSRRefP22_0x_0)</f>
        <v>3078.56</v>
      </c>
      <c r="Q19" s="1"/>
      <c r="R19" s="5">
        <f t="shared" si="4"/>
        <v>0</v>
      </c>
      <c r="S19" s="1"/>
      <c r="T19" s="1">
        <f>SUM(OSRRefT22_0x_0)</f>
        <v>3788.9588461538456</v>
      </c>
      <c r="U19" s="1"/>
      <c r="V19" s="5">
        <f t="shared" si="5"/>
        <v>0</v>
      </c>
      <c r="W19" s="1"/>
      <c r="X19" s="1">
        <f t="shared" si="6"/>
        <v>-710.39884615384562</v>
      </c>
      <c r="Y19" s="1"/>
      <c r="Z19" s="5">
        <f t="shared" si="7"/>
        <v>-0.1874918348281793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384.71</v>
      </c>
      <c r="E20" s="2"/>
      <c r="F20" s="7">
        <f t="shared" si="0"/>
        <v>0</v>
      </c>
      <c r="G20" s="2"/>
      <c r="H20" s="6">
        <v>459.18</v>
      </c>
      <c r="I20" s="2"/>
      <c r="J20" s="7">
        <f t="shared" si="1"/>
        <v>0</v>
      </c>
      <c r="K20" s="2"/>
      <c r="L20" s="6">
        <f t="shared" si="2"/>
        <v>-74.470000000000027</v>
      </c>
      <c r="M20" s="2"/>
      <c r="N20" s="7">
        <f t="shared" si="3"/>
        <v>-0.1621804085543796</v>
      </c>
      <c r="O20" s="11"/>
      <c r="P20" s="6">
        <v>789.36</v>
      </c>
      <c r="Q20" s="2"/>
      <c r="R20" s="7">
        <f t="shared" si="4"/>
        <v>0</v>
      </c>
      <c r="S20" s="2"/>
      <c r="T20" s="6">
        <v>1033.155</v>
      </c>
      <c r="U20" s="2"/>
      <c r="V20" s="7">
        <f t="shared" si="5"/>
        <v>0</v>
      </c>
      <c r="W20" s="2"/>
      <c r="X20" s="6">
        <f t="shared" si="6"/>
        <v>-243.79499999999996</v>
      </c>
      <c r="Y20" s="2"/>
      <c r="Z20" s="7">
        <f t="shared" si="7"/>
        <v>-0.23597136925243548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21.18</v>
      </c>
      <c r="E21" s="2"/>
      <c r="F21" s="7">
        <f t="shared" si="0"/>
        <v>0</v>
      </c>
      <c r="G21" s="2"/>
      <c r="H21" s="6">
        <v>19.8</v>
      </c>
      <c r="I21" s="2"/>
      <c r="J21" s="7">
        <f t="shared" si="1"/>
        <v>0</v>
      </c>
      <c r="K21" s="2"/>
      <c r="L21" s="6">
        <f t="shared" si="2"/>
        <v>1.379999999999999</v>
      </c>
      <c r="M21" s="2"/>
      <c r="N21" s="7">
        <f t="shared" si="3"/>
        <v>6.9696969696969646E-2</v>
      </c>
      <c r="O21" s="11"/>
      <c r="P21" s="6">
        <v>41.98</v>
      </c>
      <c r="Q21" s="2"/>
      <c r="R21" s="7">
        <f t="shared" si="4"/>
        <v>0</v>
      </c>
      <c r="S21" s="2"/>
      <c r="T21" s="6">
        <v>44.55</v>
      </c>
      <c r="U21" s="2"/>
      <c r="V21" s="7">
        <f t="shared" si="5"/>
        <v>0</v>
      </c>
      <c r="W21" s="2"/>
      <c r="X21" s="6">
        <f t="shared" si="6"/>
        <v>-2.5700000000000003</v>
      </c>
      <c r="Y21" s="2"/>
      <c r="Z21" s="7">
        <f t="shared" si="7"/>
        <v>-5.7687991021324367E-2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87.023846153845966</v>
      </c>
      <c r="M22" s="2"/>
      <c r="N22" s="7">
        <f t="shared" si="3"/>
        <v>0.14176817042606482</v>
      </c>
      <c r="O22" s="11"/>
      <c r="P22" s="6">
        <v>1401.74</v>
      </c>
      <c r="Q22" s="2"/>
      <c r="R22" s="7">
        <f t="shared" si="4"/>
        <v>0</v>
      </c>
      <c r="S22" s="2"/>
      <c r="T22" s="6">
        <v>1381.153846153846</v>
      </c>
      <c r="U22" s="2"/>
      <c r="V22" s="7">
        <f t="shared" si="5"/>
        <v>0</v>
      </c>
      <c r="W22" s="2"/>
      <c r="X22" s="6">
        <f t="shared" si="6"/>
        <v>20.586153846154048</v>
      </c>
      <c r="Y22" s="2"/>
      <c r="Z22" s="7">
        <f t="shared" si="7"/>
        <v>1.4905040378724737E-2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16.690000000000001</v>
      </c>
      <c r="E23" s="2"/>
      <c r="F23" s="7">
        <f t="shared" si="0"/>
        <v>0</v>
      </c>
      <c r="G23" s="2"/>
      <c r="H23" s="6">
        <v>15.6</v>
      </c>
      <c r="I23" s="2"/>
      <c r="J23" s="7">
        <f t="shared" si="1"/>
        <v>0</v>
      </c>
      <c r="K23" s="2"/>
      <c r="L23" s="6">
        <f t="shared" si="2"/>
        <v>1.0900000000000016</v>
      </c>
      <c r="M23" s="2"/>
      <c r="N23" s="7">
        <f t="shared" si="3"/>
        <v>6.9871794871794984E-2</v>
      </c>
      <c r="O23" s="11"/>
      <c r="P23" s="6">
        <v>33.08</v>
      </c>
      <c r="Q23" s="2"/>
      <c r="R23" s="7">
        <f t="shared" si="4"/>
        <v>0</v>
      </c>
      <c r="S23" s="2"/>
      <c r="T23" s="6">
        <v>35.1</v>
      </c>
      <c r="U23" s="2"/>
      <c r="V23" s="7">
        <f t="shared" si="5"/>
        <v>0</v>
      </c>
      <c r="W23" s="2"/>
      <c r="X23" s="6">
        <f t="shared" si="6"/>
        <v>-2.0200000000000031</v>
      </c>
      <c r="Y23" s="2"/>
      <c r="Z23" s="7">
        <f t="shared" si="7"/>
        <v>-5.7549857549857635E-2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240</v>
      </c>
      <c r="I26" s="2"/>
      <c r="J26" s="7">
        <f t="shared" si="1"/>
        <v>0</v>
      </c>
      <c r="K26" s="2"/>
      <c r="L26" s="6">
        <f t="shared" si="2"/>
        <v>-55.199999999999989</v>
      </c>
      <c r="M26" s="2"/>
      <c r="N26" s="7">
        <f t="shared" si="3"/>
        <v>-0.22999999999999995</v>
      </c>
      <c r="O26" s="11"/>
      <c r="P26" s="6">
        <v>369.6</v>
      </c>
      <c r="Q26" s="2"/>
      <c r="R26" s="7">
        <f t="shared" si="4"/>
        <v>0</v>
      </c>
      <c r="S26" s="2"/>
      <c r="T26" s="6">
        <v>540</v>
      </c>
      <c r="U26" s="2"/>
      <c r="V26" s="7">
        <f t="shared" si="5"/>
        <v>0</v>
      </c>
      <c r="W26" s="2"/>
      <c r="X26" s="6">
        <f t="shared" si="6"/>
        <v>-170.39999999999998</v>
      </c>
      <c r="Y26" s="2"/>
      <c r="Z26" s="7">
        <f t="shared" si="7"/>
        <v>-0.31555555555555553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180</v>
      </c>
      <c r="I27" s="2"/>
      <c r="J27" s="7">
        <f t="shared" si="1"/>
        <v>0</v>
      </c>
      <c r="K27" s="2"/>
      <c r="L27" s="6">
        <f t="shared" si="2"/>
        <v>41.400000000000006</v>
      </c>
      <c r="M27" s="2"/>
      <c r="N27" s="7">
        <f t="shared" si="3"/>
        <v>0.23000000000000004</v>
      </c>
      <c r="O27" s="11"/>
      <c r="P27" s="6">
        <v>442.8</v>
      </c>
      <c r="Q27" s="2"/>
      <c r="R27" s="7">
        <f t="shared" si="4"/>
        <v>0</v>
      </c>
      <c r="S27" s="2"/>
      <c r="T27" s="6">
        <v>405</v>
      </c>
      <c r="U27" s="2"/>
      <c r="V27" s="7">
        <f t="shared" si="5"/>
        <v>0</v>
      </c>
      <c r="W27" s="2"/>
      <c r="X27" s="6">
        <f t="shared" si="6"/>
        <v>37.800000000000011</v>
      </c>
      <c r="Y27" s="2"/>
      <c r="Z27" s="7">
        <f t="shared" si="7"/>
        <v>9.3333333333333365E-2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-175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350</v>
      </c>
      <c r="U28" s="2"/>
      <c r="V28" s="7">
        <f t="shared" si="5"/>
        <v>0</v>
      </c>
      <c r="W28" s="2"/>
      <c r="X28" s="6">
        <f t="shared" si="6"/>
        <v>-350</v>
      </c>
      <c r="Y28" s="2"/>
      <c r="Z28" s="7">
        <f t="shared" si="7"/>
        <v>-1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6405.73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729.72999999999956</v>
      </c>
      <c r="M29" s="1"/>
      <c r="N29" s="5">
        <f t="shared" ref="N29:N39" si="11">IF(H29=0,0,L29/H29)</f>
        <v>0.12856412966878075</v>
      </c>
      <c r="O29" s="14"/>
      <c r="P29" s="1">
        <f>SUM(OSRRefP22_1x_0)</f>
        <v>14905.61</v>
      </c>
      <c r="Q29" s="1"/>
      <c r="R29" s="5">
        <f t="shared" ref="R29:R39" si="12">IF(P$12=0,0,P29/P$12)</f>
        <v>0</v>
      </c>
      <c r="S29" s="1"/>
      <c r="T29" s="1">
        <f>SUM(OSRRefT22_1x_0)</f>
        <v>12771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2134.6100000000006</v>
      </c>
      <c r="Y29" s="1"/>
      <c r="Z29" s="5">
        <f t="shared" ref="Z29:Z39" si="15">IF(T29=0,0,X29/T29)</f>
        <v>0.16714509435439673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5182.5</v>
      </c>
      <c r="E33" s="2"/>
      <c r="F33" s="7">
        <f t="shared" si="8"/>
        <v>0</v>
      </c>
      <c r="G33" s="2"/>
      <c r="H33" s="6">
        <v>4512</v>
      </c>
      <c r="I33" s="2"/>
      <c r="J33" s="7">
        <f t="shared" si="9"/>
        <v>0</v>
      </c>
      <c r="K33" s="2"/>
      <c r="L33" s="6">
        <f t="shared" si="10"/>
        <v>670.5</v>
      </c>
      <c r="M33" s="2"/>
      <c r="N33" s="7">
        <f t="shared" si="11"/>
        <v>0.14860372340425532</v>
      </c>
      <c r="O33" s="11"/>
      <c r="P33" s="6">
        <v>10608.75</v>
      </c>
      <c r="Q33" s="2"/>
      <c r="R33" s="7">
        <f t="shared" si="12"/>
        <v>0</v>
      </c>
      <c r="S33" s="2"/>
      <c r="T33" s="6">
        <v>10152</v>
      </c>
      <c r="U33" s="2"/>
      <c r="V33" s="7">
        <f t="shared" si="13"/>
        <v>0</v>
      </c>
      <c r="W33" s="2"/>
      <c r="X33" s="6">
        <f t="shared" si="14"/>
        <v>456.75</v>
      </c>
      <c r="Y33" s="2"/>
      <c r="Z33" s="7">
        <f t="shared" si="15"/>
        <v>4.4991134751773049E-2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-587</v>
      </c>
      <c r="E36" s="2"/>
      <c r="F36" s="7">
        <f t="shared" si="8"/>
        <v>0</v>
      </c>
      <c r="G36" s="2"/>
      <c r="H36" s="6">
        <v>1164</v>
      </c>
      <c r="I36" s="2"/>
      <c r="J36" s="7">
        <f t="shared" si="9"/>
        <v>0</v>
      </c>
      <c r="K36" s="2"/>
      <c r="L36" s="6">
        <f t="shared" si="10"/>
        <v>-1751</v>
      </c>
      <c r="M36" s="2"/>
      <c r="N36" s="7">
        <f t="shared" si="11"/>
        <v>-1.5042955326460481</v>
      </c>
      <c r="O36" s="11"/>
      <c r="P36" s="6">
        <v>1258</v>
      </c>
      <c r="Q36" s="2"/>
      <c r="R36" s="7">
        <f t="shared" si="12"/>
        <v>0</v>
      </c>
      <c r="S36" s="2"/>
      <c r="T36" s="6">
        <v>2619</v>
      </c>
      <c r="U36" s="2"/>
      <c r="V36" s="7">
        <f t="shared" si="13"/>
        <v>0</v>
      </c>
      <c r="W36" s="2"/>
      <c r="X36" s="6">
        <f t="shared" si="14"/>
        <v>-1361</v>
      </c>
      <c r="Y36" s="2"/>
      <c r="Z36" s="7">
        <f t="shared" si="15"/>
        <v>-0.51966399389079798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1810.23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1810.23</v>
      </c>
      <c r="M37" s="2"/>
      <c r="N37" s="7">
        <f t="shared" si="11"/>
        <v>0</v>
      </c>
      <c r="O37" s="11"/>
      <c r="P37" s="6">
        <v>3038.86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3038.86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173.21</v>
      </c>
      <c r="Q40" s="1"/>
      <c r="R40" s="5">
        <f t="shared" ref="R40:R54" si="20">IF(P$12=0,0,P40/P$12)</f>
        <v>0</v>
      </c>
      <c r="S40" s="1"/>
      <c r="T40" s="1">
        <f>SUM(OSRRefT22_2x_0)</f>
        <v>16666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-16492.79</v>
      </c>
      <c r="Y40" s="1"/>
      <c r="Z40" s="5">
        <f t="shared" ref="Z40:Z54" si="23">IF(T40=0,0,X40/T40)</f>
        <v>-0.98960698427937122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173.21</v>
      </c>
      <c r="E41" s="2"/>
      <c r="F41" s="7">
        <f t="shared" si="16"/>
        <v>0</v>
      </c>
      <c r="G41" s="2"/>
      <c r="H41" s="6">
        <v>8333</v>
      </c>
      <c r="I41" s="2"/>
      <c r="J41" s="7">
        <f t="shared" si="17"/>
        <v>0</v>
      </c>
      <c r="K41" s="2"/>
      <c r="L41" s="6">
        <f t="shared" si="18"/>
        <v>-8159.79</v>
      </c>
      <c r="M41" s="2"/>
      <c r="N41" s="7">
        <f t="shared" si="19"/>
        <v>-0.97921396855874232</v>
      </c>
      <c r="O41" s="11"/>
      <c r="P41" s="6">
        <v>173.21</v>
      </c>
      <c r="Q41" s="2"/>
      <c r="R41" s="7">
        <f t="shared" si="20"/>
        <v>0</v>
      </c>
      <c r="S41" s="2"/>
      <c r="T41" s="6">
        <v>16666</v>
      </c>
      <c r="U41" s="2"/>
      <c r="V41" s="7">
        <f t="shared" si="21"/>
        <v>0</v>
      </c>
      <c r="W41" s="2"/>
      <c r="X41" s="6">
        <f t="shared" si="22"/>
        <v>-16492.79</v>
      </c>
      <c r="Y41" s="2"/>
      <c r="Z41" s="7">
        <f t="shared" si="23"/>
        <v>-0.98960698427937122</v>
      </c>
    </row>
    <row r="42" spans="1:26" s="29" customFormat="1" outlineLevel="1" collapsed="1" x14ac:dyDescent="0.25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542.54</v>
      </c>
      <c r="Q42" s="1"/>
      <c r="R42" s="5">
        <f t="shared" si="20"/>
        <v>0</v>
      </c>
      <c r="S42" s="1"/>
      <c r="T42" s="1">
        <f>SUM(OSRRefT22_3x_0)</f>
        <v>542</v>
      </c>
      <c r="U42" s="1"/>
      <c r="V42" s="5">
        <f t="shared" si="21"/>
        <v>0</v>
      </c>
      <c r="W42" s="1"/>
      <c r="X42" s="1">
        <f t="shared" si="22"/>
        <v>0.53999999999996362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271.27</v>
      </c>
      <c r="E43" s="2"/>
      <c r="F43" s="7">
        <f t="shared" si="16"/>
        <v>0</v>
      </c>
      <c r="G43" s="2"/>
      <c r="H43" s="6">
        <v>271</v>
      </c>
      <c r="I43" s="2"/>
      <c r="J43" s="7">
        <f t="shared" si="17"/>
        <v>0</v>
      </c>
      <c r="K43" s="2"/>
      <c r="L43" s="6">
        <f t="shared" si="18"/>
        <v>0.26999999999998181</v>
      </c>
      <c r="M43" s="2"/>
      <c r="N43" s="7">
        <f t="shared" si="19"/>
        <v>9.9630996309956377E-4</v>
      </c>
      <c r="O43" s="11"/>
      <c r="P43" s="6">
        <v>542.54</v>
      </c>
      <c r="Q43" s="2"/>
      <c r="R43" s="7">
        <f t="shared" si="20"/>
        <v>0</v>
      </c>
      <c r="S43" s="2"/>
      <c r="T43" s="6">
        <v>542</v>
      </c>
      <c r="U43" s="2"/>
      <c r="V43" s="7">
        <f t="shared" si="21"/>
        <v>0</v>
      </c>
      <c r="W43" s="2"/>
      <c r="X43" s="6">
        <f t="shared" si="22"/>
        <v>0.53999999999996362</v>
      </c>
      <c r="Y43" s="2"/>
      <c r="Z43" s="7">
        <f t="shared" si="23"/>
        <v>9.9630996309956377E-4</v>
      </c>
    </row>
    <row r="44" spans="1:26" s="29" customFormat="1" outlineLevel="1" collapsed="1" x14ac:dyDescent="0.25">
      <c r="A44" s="28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-500</v>
      </c>
      <c r="Y45" s="2"/>
      <c r="Z45" s="7">
        <f t="shared" si="23"/>
        <v>-1</v>
      </c>
    </row>
    <row r="46" spans="1:26" s="29" customFormat="1" outlineLevel="1" collapsed="1" x14ac:dyDescent="0.25">
      <c r="A46" s="28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1334</v>
      </c>
      <c r="U46" s="1"/>
      <c r="V46" s="5">
        <f t="shared" si="21"/>
        <v>0</v>
      </c>
      <c r="W46" s="1"/>
      <c r="X46" s="1">
        <f t="shared" si="22"/>
        <v>-1334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>
        <v>667</v>
      </c>
      <c r="I47" s="2"/>
      <c r="J47" s="7">
        <f t="shared" si="17"/>
        <v>0</v>
      </c>
      <c r="K47" s="2"/>
      <c r="L47" s="6">
        <f t="shared" si="18"/>
        <v>-667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1334</v>
      </c>
      <c r="U47" s="2"/>
      <c r="V47" s="7">
        <f t="shared" si="21"/>
        <v>0</v>
      </c>
      <c r="W47" s="2"/>
      <c r="X47" s="6">
        <f t="shared" si="22"/>
        <v>-1334</v>
      </c>
      <c r="Y47" s="2"/>
      <c r="Z47" s="7">
        <f t="shared" si="23"/>
        <v>-1</v>
      </c>
    </row>
    <row r="48" spans="1:26" s="29" customFormat="1" outlineLevel="1" collapsed="1" x14ac:dyDescent="0.25">
      <c r="A48" s="28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"6258", " - ", "MEMBERSHIP DUES")</f>
        <v xml:space="preserve">          6258 - MEMBERSHIP DUES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600</v>
      </c>
      <c r="U49" s="2"/>
      <c r="V49" s="7">
        <f t="shared" si="21"/>
        <v>0</v>
      </c>
      <c r="W49" s="2"/>
      <c r="X49" s="6">
        <f t="shared" si="22"/>
        <v>-600</v>
      </c>
      <c r="Y49" s="2"/>
      <c r="Z49" s="7">
        <f t="shared" si="23"/>
        <v>-1</v>
      </c>
    </row>
    <row r="50" spans="1:26" s="29" customFormat="1" outlineLevel="1" collapsed="1" x14ac:dyDescent="0.25">
      <c r="A50" s="28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1666</v>
      </c>
      <c r="U50" s="1"/>
      <c r="V50" s="5">
        <f t="shared" si="21"/>
        <v>0</v>
      </c>
      <c r="W50" s="1"/>
      <c r="X50" s="1">
        <f t="shared" si="22"/>
        <v>-1666</v>
      </c>
      <c r="Y50" s="1"/>
      <c r="Z50" s="5">
        <f t="shared" si="23"/>
        <v>-1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16"/>
        <v>0</v>
      </c>
      <c r="G51" s="2"/>
      <c r="H51" s="6">
        <v>833</v>
      </c>
      <c r="I51" s="2"/>
      <c r="J51" s="7">
        <f t="shared" si="17"/>
        <v>0</v>
      </c>
      <c r="K51" s="2"/>
      <c r="L51" s="6">
        <f t="shared" si="18"/>
        <v>-833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1666</v>
      </c>
      <c r="U51" s="2"/>
      <c r="V51" s="7">
        <f t="shared" si="21"/>
        <v>0</v>
      </c>
      <c r="W51" s="2"/>
      <c r="X51" s="6">
        <f t="shared" si="22"/>
        <v>-1666</v>
      </c>
      <c r="Y51" s="2"/>
      <c r="Z51" s="7">
        <f t="shared" si="23"/>
        <v>-1</v>
      </c>
    </row>
    <row r="52" spans="1:26" s="29" customFormat="1" outlineLevel="1" collapsed="1" x14ac:dyDescent="0.25">
      <c r="A52" s="28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36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36</v>
      </c>
      <c r="M52" s="1"/>
      <c r="N52" s="5">
        <f t="shared" si="19"/>
        <v>0</v>
      </c>
      <c r="O52" s="14"/>
      <c r="P52" s="1">
        <f>SUM(OSRRefP22_8x_0)</f>
        <v>72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-1728</v>
      </c>
      <c r="Y52" s="1"/>
      <c r="Z52" s="5">
        <f t="shared" si="23"/>
        <v>-0.96</v>
      </c>
    </row>
    <row r="53" spans="1:26" s="24" customFormat="1" hidden="1" outlineLevel="2" x14ac:dyDescent="0.25">
      <c r="A53" s="27"/>
      <c r="B53" s="11" t="str">
        <f>CONCATENATE("          ", "6303", " - ", "DATA PHONE LINES")</f>
        <v xml:space="preserve">          6303 - DATA PHONE LINES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1800</v>
      </c>
      <c r="U53" s="2"/>
      <c r="V53" s="7">
        <f t="shared" si="21"/>
        <v>0</v>
      </c>
      <c r="W53" s="2"/>
      <c r="X53" s="6">
        <f t="shared" si="22"/>
        <v>-1800</v>
      </c>
      <c r="Y53" s="2"/>
      <c r="Z53" s="7">
        <f t="shared" si="23"/>
        <v>-1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6">
        <v>36</v>
      </c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36</v>
      </c>
      <c r="M54" s="2"/>
      <c r="N54" s="7">
        <f t="shared" si="19"/>
        <v>0</v>
      </c>
      <c r="O54" s="11"/>
      <c r="P54" s="6">
        <v>72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72</v>
      </c>
      <c r="Y54" s="2"/>
      <c r="Z54" s="7">
        <f t="shared" si="23"/>
        <v>0</v>
      </c>
    </row>
    <row r="55" spans="1:26" s="29" customFormat="1" outlineLevel="1" collapsed="1" x14ac:dyDescent="0.25">
      <c r="A55" s="28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7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2400</v>
      </c>
      <c r="U56" s="2"/>
      <c r="V56" s="7">
        <f t="shared" si="29"/>
        <v>0</v>
      </c>
      <c r="W56" s="2"/>
      <c r="X56" s="6">
        <f t="shared" si="30"/>
        <v>-2400</v>
      </c>
      <c r="Y56" s="2"/>
      <c r="Z56" s="7">
        <f t="shared" si="31"/>
        <v>-1</v>
      </c>
    </row>
    <row r="57" spans="1:26" s="61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2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2" customFormat="1" x14ac:dyDescent="0.25">
      <c r="A60" s="10"/>
      <c r="B60" s="26" t="s">
        <v>3</v>
      </c>
      <c r="C60" s="26"/>
      <c r="D60" s="21">
        <f>+D16-D18+D58</f>
        <v>-8415.8599999999988</v>
      </c>
      <c r="E60" s="13"/>
      <c r="F60" s="20">
        <f>IF(D$12=0,0,D60/D$12)</f>
        <v>0</v>
      </c>
      <c r="G60" s="13"/>
      <c r="H60" s="21">
        <f>+H16-H18+H58</f>
        <v>-17483.426153846154</v>
      </c>
      <c r="I60" s="13"/>
      <c r="J60" s="20">
        <f>IF(H$12=0,0,H60/H$12)</f>
        <v>0</v>
      </c>
      <c r="K60" s="16"/>
      <c r="L60" s="21">
        <f>+D60-H60</f>
        <v>9067.5661538461554</v>
      </c>
      <c r="M60" s="16"/>
      <c r="N60" s="20">
        <f>IF(H60=0,0,L60/H60)</f>
        <v>-0.5186378272802894</v>
      </c>
      <c r="O60" s="25"/>
      <c r="P60" s="21">
        <f>+P16-P18+P58</f>
        <v>-18771.919999999998</v>
      </c>
      <c r="Q60" s="13"/>
      <c r="R60" s="20">
        <f>IF(P$12=0,0,P60/P$12)</f>
        <v>0</v>
      </c>
      <c r="S60" s="13"/>
      <c r="T60" s="21">
        <f>+T16-T18+T58</f>
        <v>-42067.958846153844</v>
      </c>
      <c r="U60" s="13"/>
      <c r="V60" s="20">
        <f>IF(T$12=0,0,T60/T$12)</f>
        <v>0</v>
      </c>
      <c r="W60" s="16"/>
      <c r="X60" s="21">
        <f>+P60-T60</f>
        <v>23296.038846153846</v>
      </c>
      <c r="Y60" s="16"/>
      <c r="Z60" s="20">
        <f>IF(T60=0,0,X60/T60)</f>
        <v>-0.55377155167783321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2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2" customFormat="1" ht="15.75" thickBot="1" x14ac:dyDescent="0.3">
      <c r="A64" s="10"/>
      <c r="B64" s="26" t="s">
        <v>4</v>
      </c>
      <c r="C64" s="26"/>
      <c r="D64" s="33">
        <f>+D60-D62</f>
        <v>-8415.8599999999988</v>
      </c>
      <c r="E64" s="13"/>
      <c r="F64" s="31">
        <f>IF(D$12=0,0,D64/D$12)</f>
        <v>0</v>
      </c>
      <c r="G64" s="13"/>
      <c r="H64" s="33">
        <f>+H60-H62</f>
        <v>-17483.426153846154</v>
      </c>
      <c r="I64" s="13"/>
      <c r="J64" s="31">
        <f>IF(H$12=0,0,H64/H$12)</f>
        <v>0</v>
      </c>
      <c r="K64" s="16"/>
      <c r="L64" s="33">
        <f>D64-H64</f>
        <v>9067.5661538461554</v>
      </c>
      <c r="M64" s="16"/>
      <c r="N64" s="31">
        <f>IF(H64=0,0,L64/H64)</f>
        <v>-0.5186378272802894</v>
      </c>
      <c r="O64" s="25"/>
      <c r="P64" s="33">
        <f>+P60-P62</f>
        <v>-18771.919999999998</v>
      </c>
      <c r="Q64" s="13"/>
      <c r="R64" s="31">
        <f>IF(P$12=0,0,P64/P$12)</f>
        <v>0</v>
      </c>
      <c r="S64" s="13"/>
      <c r="T64" s="33">
        <f>+T60-T62</f>
        <v>-42067.958846153844</v>
      </c>
      <c r="U64" s="13"/>
      <c r="V64" s="31">
        <f>IF(T$12=0,0,T64/T$12)</f>
        <v>0</v>
      </c>
      <c r="W64" s="16"/>
      <c r="X64" s="33">
        <f>P64-T64</f>
        <v>23296.038846153846</v>
      </c>
      <c r="Y64" s="16"/>
      <c r="Z64" s="31">
        <f>IF(T64=0,0,X64/T64)</f>
        <v>-0.55377155167783321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2" customFormat="1" ht="15.75" thickBot="1" x14ac:dyDescent="0.3">
      <c r="A67" s="10"/>
      <c r="B67" s="26" t="s">
        <v>5</v>
      </c>
      <c r="C67" s="26"/>
      <c r="D67" s="32">
        <f>SUM(D64:D66)</f>
        <v>-8415.8599999999988</v>
      </c>
      <c r="E67" s="13"/>
      <c r="F67" s="35">
        <f>IF(D$12=0,0,D67/D$12)</f>
        <v>0</v>
      </c>
      <c r="G67" s="13"/>
      <c r="H67" s="32">
        <f>SUM(H64:H66)</f>
        <v>-17483.426153846154</v>
      </c>
      <c r="I67" s="13"/>
      <c r="J67" s="35">
        <f>IF(H$12=0,0,H67/H$12)</f>
        <v>0</v>
      </c>
      <c r="K67" s="16"/>
      <c r="L67" s="32">
        <f>+D67-H67</f>
        <v>9067.5661538461554</v>
      </c>
      <c r="M67" s="16"/>
      <c r="N67" s="35">
        <f>IF(H67=0,0,L67/H67)</f>
        <v>-0.5186378272802894</v>
      </c>
      <c r="O67" s="25"/>
      <c r="P67" s="32">
        <f>SUM(P64:P66)</f>
        <v>-18771.919999999998</v>
      </c>
      <c r="Q67" s="13"/>
      <c r="R67" s="35">
        <f>IF(P$12=0,0,P67/P$12)</f>
        <v>0</v>
      </c>
      <c r="S67" s="13"/>
      <c r="T67" s="32">
        <f>SUM(T64:T66)</f>
        <v>-42067.958846153844</v>
      </c>
      <c r="U67" s="13"/>
      <c r="V67" s="35">
        <f>IF(T$12=0,0,T67/T$12)</f>
        <v>0</v>
      </c>
      <c r="W67" s="16"/>
      <c r="X67" s="32">
        <f>+P67-T67</f>
        <v>23296.038846153846</v>
      </c>
      <c r="Y67" s="16"/>
      <c r="Z67" s="35">
        <f>IF(T67=0,0,X67/T67)</f>
        <v>-0.55377155167783321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9">
        <v>44113.689280057872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62" t="s">
        <v>314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3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1597913.1100000003</v>
      </c>
      <c r="E12" s="4"/>
      <c r="F12" s="12"/>
      <c r="G12" s="4"/>
      <c r="H12" s="4">
        <f>SUM(OSRRefH13x_0)</f>
        <v>1998337.9999999998</v>
      </c>
      <c r="I12" s="4"/>
      <c r="J12" s="12"/>
      <c r="K12" s="4"/>
      <c r="L12" s="4">
        <f t="shared" ref="L12:L71" si="0">+D12-H12</f>
        <v>-400424.88999999943</v>
      </c>
      <c r="M12" s="4"/>
      <c r="N12" s="12">
        <f t="shared" ref="N12:N71" si="1">IF(H12=0,0,L12/H12)</f>
        <v>-0.20037895991568969</v>
      </c>
      <c r="O12" s="10"/>
      <c r="P12" s="4">
        <f>SUM(OSRRefP13x_0)</f>
        <v>1825580.3600000003</v>
      </c>
      <c r="Q12" s="4"/>
      <c r="R12" s="12"/>
      <c r="S12" s="4"/>
      <c r="T12" s="4">
        <f>SUM(OSRRefT13x_0)</f>
        <v>2300379</v>
      </c>
      <c r="U12" s="4"/>
      <c r="V12" s="12"/>
      <c r="W12" s="4"/>
      <c r="X12" s="4">
        <f t="shared" ref="X12:X71" si="2">+P12-T12</f>
        <v>-474798.63999999966</v>
      </c>
      <c r="Y12" s="4"/>
      <c r="Z12" s="12">
        <f t="shared" ref="Z12:Z71" si="3">IF(T12=0,0,X12/T12)</f>
        <v>-0.20640018014422826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-17230.39</f>
        <v>-17230.39</v>
      </c>
      <c r="E13" s="2"/>
      <c r="F13" s="23"/>
      <c r="G13" s="2"/>
      <c r="H13" s="2">
        <v>1986261.9999999998</v>
      </c>
      <c r="I13" s="2"/>
      <c r="J13" s="23"/>
      <c r="K13" s="2"/>
      <c r="L13" s="2">
        <f t="shared" si="0"/>
        <v>-2003492.3899999997</v>
      </c>
      <c r="M13" s="2"/>
      <c r="N13" s="23">
        <f t="shared" si="1"/>
        <v>-1.0086747820780944</v>
      </c>
      <c r="O13" s="11"/>
      <c r="P13" s="2">
        <f>-27953.85</f>
        <v>-27953.85</v>
      </c>
      <c r="Q13" s="2"/>
      <c r="R13" s="23"/>
      <c r="S13" s="2"/>
      <c r="T13" s="2">
        <v>2287753</v>
      </c>
      <c r="U13" s="2"/>
      <c r="V13" s="23"/>
      <c r="W13" s="2"/>
      <c r="X13" s="2">
        <f t="shared" si="2"/>
        <v>-2315706.85</v>
      </c>
      <c r="Y13" s="2"/>
      <c r="Z13" s="23">
        <f t="shared" si="3"/>
        <v>-1.0122189108701858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23"/>
      <c r="G14" s="2"/>
      <c r="H14" s="2"/>
      <c r="I14" s="2"/>
      <c r="J14" s="23"/>
      <c r="K14" s="2"/>
      <c r="L14" s="2">
        <f t="shared" si="0"/>
        <v>572249.47</v>
      </c>
      <c r="M14" s="2"/>
      <c r="N14" s="23">
        <f t="shared" si="1"/>
        <v>0</v>
      </c>
      <c r="O14" s="11"/>
      <c r="P14" s="2">
        <f>--584197.32</f>
        <v>584197.31999999995</v>
      </c>
      <c r="Q14" s="2"/>
      <c r="R14" s="23"/>
      <c r="S14" s="2"/>
      <c r="T14" s="2"/>
      <c r="U14" s="2"/>
      <c r="V14" s="23"/>
      <c r="W14" s="2"/>
      <c r="X14" s="2">
        <f t="shared" si="2"/>
        <v>584197.31999999995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23"/>
      <c r="G15" s="2"/>
      <c r="H15" s="2"/>
      <c r="I15" s="2"/>
      <c r="J15" s="23"/>
      <c r="K15" s="2"/>
      <c r="L15" s="2">
        <f t="shared" si="0"/>
        <v>265582.82</v>
      </c>
      <c r="M15" s="2"/>
      <c r="N15" s="23">
        <f t="shared" si="1"/>
        <v>0</v>
      </c>
      <c r="O15" s="11"/>
      <c r="P15" s="2">
        <f>--278612.16</f>
        <v>278612.15999999997</v>
      </c>
      <c r="Q15" s="2"/>
      <c r="R15" s="23"/>
      <c r="S15" s="2"/>
      <c r="T15" s="2"/>
      <c r="U15" s="2"/>
      <c r="V15" s="23"/>
      <c r="W15" s="2"/>
      <c r="X15" s="2">
        <f t="shared" si="2"/>
        <v>278612.15999999997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0</f>
        <v>0</v>
      </c>
      <c r="E21" s="2"/>
      <c r="F21" s="23"/>
      <c r="G21" s="2"/>
      <c r="H21" s="2"/>
      <c r="I21" s="2"/>
      <c r="J21" s="23"/>
      <c r="K21" s="2"/>
      <c r="L21" s="2">
        <f t="shared" si="0"/>
        <v>0</v>
      </c>
      <c r="M21" s="2"/>
      <c r="N21" s="23">
        <f t="shared" si="1"/>
        <v>0</v>
      </c>
      <c r="O21" s="11"/>
      <c r="P21" s="2">
        <f>--236.56</f>
        <v>236.56</v>
      </c>
      <c r="Q21" s="2"/>
      <c r="R21" s="23"/>
      <c r="S21" s="2"/>
      <c r="T21" s="2"/>
      <c r="U21" s="2"/>
      <c r="V21" s="23"/>
      <c r="W21" s="2"/>
      <c r="X21" s="2">
        <f t="shared" si="2"/>
        <v>236.56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--20247.89</f>
        <v>20247.89</v>
      </c>
      <c r="E22" s="2"/>
      <c r="F22" s="23"/>
      <c r="G22" s="2"/>
      <c r="H22" s="2"/>
      <c r="I22" s="2"/>
      <c r="J22" s="23"/>
      <c r="K22" s="2"/>
      <c r="L22" s="2">
        <f t="shared" si="0"/>
        <v>20247.89</v>
      </c>
      <c r="M22" s="2"/>
      <c r="N22" s="23">
        <f t="shared" si="1"/>
        <v>0</v>
      </c>
      <c r="O22" s="11"/>
      <c r="P22" s="2">
        <f>--21901.06</f>
        <v>21901.06</v>
      </c>
      <c r="Q22" s="2"/>
      <c r="R22" s="23"/>
      <c r="S22" s="2"/>
      <c r="T22" s="2"/>
      <c r="U22" s="2"/>
      <c r="V22" s="23"/>
      <c r="W22" s="2"/>
      <c r="X22" s="2">
        <f t="shared" si="2"/>
        <v>21901.06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--9671.25</f>
        <v>9671.25</v>
      </c>
      <c r="E23" s="2"/>
      <c r="F23" s="23"/>
      <c r="G23" s="2"/>
      <c r="H23" s="2"/>
      <c r="I23" s="2"/>
      <c r="J23" s="23"/>
      <c r="K23" s="2"/>
      <c r="L23" s="2">
        <f t="shared" si="0"/>
        <v>9671.25</v>
      </c>
      <c r="M23" s="2"/>
      <c r="N23" s="23">
        <f t="shared" si="1"/>
        <v>0</v>
      </c>
      <c r="O23" s="11"/>
      <c r="P23" s="2">
        <f>--9691.1</f>
        <v>9691.1</v>
      </c>
      <c r="Q23" s="2"/>
      <c r="R23" s="23"/>
      <c r="S23" s="2"/>
      <c r="T23" s="2"/>
      <c r="U23" s="2"/>
      <c r="V23" s="23"/>
      <c r="W23" s="2"/>
      <c r="X23" s="2">
        <f t="shared" si="2"/>
        <v>9691.1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--532.51</f>
        <v>532.51</v>
      </c>
      <c r="E24" s="2"/>
      <c r="F24" s="23"/>
      <c r="G24" s="2"/>
      <c r="H24" s="2"/>
      <c r="I24" s="2"/>
      <c r="J24" s="23"/>
      <c r="K24" s="2"/>
      <c r="L24" s="2">
        <f t="shared" si="0"/>
        <v>532.51</v>
      </c>
      <c r="M24" s="2"/>
      <c r="N24" s="23">
        <f t="shared" si="1"/>
        <v>0</v>
      </c>
      <c r="O24" s="11"/>
      <c r="P24" s="2">
        <f>--552.26</f>
        <v>552.26</v>
      </c>
      <c r="Q24" s="2"/>
      <c r="R24" s="23"/>
      <c r="S24" s="2"/>
      <c r="T24" s="2"/>
      <c r="U24" s="2"/>
      <c r="V24" s="23"/>
      <c r="W24" s="2"/>
      <c r="X24" s="2">
        <f t="shared" si="2"/>
        <v>552.26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>--88.2</f>
        <v>88.2</v>
      </c>
      <c r="E25" s="2"/>
      <c r="F25" s="23"/>
      <c r="G25" s="2"/>
      <c r="H25" s="2"/>
      <c r="I25" s="2"/>
      <c r="J25" s="23"/>
      <c r="K25" s="2"/>
      <c r="L25" s="2">
        <f t="shared" si="0"/>
        <v>88.2</v>
      </c>
      <c r="M25" s="2"/>
      <c r="N25" s="23">
        <f t="shared" si="1"/>
        <v>0</v>
      </c>
      <c r="O25" s="11"/>
      <c r="P25" s="2">
        <f>--88.2</f>
        <v>88.2</v>
      </c>
      <c r="Q25" s="2"/>
      <c r="R25" s="23"/>
      <c r="S25" s="2"/>
      <c r="T25" s="2"/>
      <c r="U25" s="2"/>
      <c r="V25" s="23"/>
      <c r="W25" s="2"/>
      <c r="X25" s="2">
        <f t="shared" si="2"/>
        <v>88.2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>0</f>
        <v>0</v>
      </c>
      <c r="E26" s="2"/>
      <c r="F26" s="23"/>
      <c r="G26" s="2"/>
      <c r="H26" s="2"/>
      <c r="I26" s="2"/>
      <c r="J26" s="23"/>
      <c r="K26" s="2"/>
      <c r="L26" s="2">
        <f t="shared" si="0"/>
        <v>0</v>
      </c>
      <c r="M26" s="2"/>
      <c r="N26" s="23">
        <f t="shared" si="1"/>
        <v>0</v>
      </c>
      <c r="O26" s="11"/>
      <c r="P26" s="2">
        <f>--6.78</f>
        <v>6.78</v>
      </c>
      <c r="Q26" s="2"/>
      <c r="R26" s="23"/>
      <c r="S26" s="2"/>
      <c r="T26" s="2"/>
      <c r="U26" s="2"/>
      <c r="V26" s="23"/>
      <c r="W26" s="2"/>
      <c r="X26" s="2">
        <f t="shared" si="2"/>
        <v>6.78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--177286.09</f>
        <v>177286.09</v>
      </c>
      <c r="E27" s="2"/>
      <c r="F27" s="23"/>
      <c r="G27" s="2"/>
      <c r="H27" s="2"/>
      <c r="I27" s="2"/>
      <c r="J27" s="23"/>
      <c r="K27" s="2"/>
      <c r="L27" s="2">
        <f t="shared" si="0"/>
        <v>177286.09</v>
      </c>
      <c r="M27" s="2"/>
      <c r="N27" s="23">
        <f t="shared" si="1"/>
        <v>0</v>
      </c>
      <c r="O27" s="11"/>
      <c r="P27" s="2">
        <f>--249578.35</f>
        <v>249578.35</v>
      </c>
      <c r="Q27" s="2"/>
      <c r="R27" s="23"/>
      <c r="S27" s="2"/>
      <c r="T27" s="2"/>
      <c r="U27" s="2"/>
      <c r="V27" s="23"/>
      <c r="W27" s="2"/>
      <c r="X27" s="2">
        <f t="shared" si="2"/>
        <v>249578.35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--82120.65</f>
        <v>82120.649999999994</v>
      </c>
      <c r="E28" s="2"/>
      <c r="F28" s="23"/>
      <c r="G28" s="2"/>
      <c r="H28" s="2"/>
      <c r="I28" s="2"/>
      <c r="J28" s="23"/>
      <c r="K28" s="2"/>
      <c r="L28" s="2">
        <f t="shared" si="0"/>
        <v>82120.649999999994</v>
      </c>
      <c r="M28" s="2"/>
      <c r="N28" s="23">
        <f t="shared" si="1"/>
        <v>0</v>
      </c>
      <c r="O28" s="11"/>
      <c r="P28" s="2">
        <f>--103309.56</f>
        <v>103309.56</v>
      </c>
      <c r="Q28" s="2"/>
      <c r="R28" s="23"/>
      <c r="S28" s="2"/>
      <c r="T28" s="2"/>
      <c r="U28" s="2"/>
      <c r="V28" s="23"/>
      <c r="W28" s="2"/>
      <c r="X28" s="2">
        <f t="shared" si="2"/>
        <v>103309.56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--30421.14</f>
        <v>30421.14</v>
      </c>
      <c r="E29" s="2"/>
      <c r="F29" s="23"/>
      <c r="G29" s="2"/>
      <c r="H29" s="2"/>
      <c r="I29" s="2"/>
      <c r="J29" s="23"/>
      <c r="K29" s="2"/>
      <c r="L29" s="2">
        <f t="shared" si="0"/>
        <v>30421.14</v>
      </c>
      <c r="M29" s="2"/>
      <c r="N29" s="23">
        <f t="shared" si="1"/>
        <v>0</v>
      </c>
      <c r="O29" s="11"/>
      <c r="P29" s="2">
        <f>--39925.04</f>
        <v>39925.040000000001</v>
      </c>
      <c r="Q29" s="2"/>
      <c r="R29" s="23"/>
      <c r="S29" s="2"/>
      <c r="T29" s="2"/>
      <c r="U29" s="2"/>
      <c r="V29" s="23"/>
      <c r="W29" s="2"/>
      <c r="X29" s="2">
        <f t="shared" si="2"/>
        <v>39925.040000000001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--6768.27</f>
        <v>6768.27</v>
      </c>
      <c r="E30" s="2"/>
      <c r="F30" s="23"/>
      <c r="G30" s="2"/>
      <c r="H30" s="2"/>
      <c r="I30" s="2"/>
      <c r="J30" s="23"/>
      <c r="K30" s="2"/>
      <c r="L30" s="2">
        <f t="shared" si="0"/>
        <v>6768.27</v>
      </c>
      <c r="M30" s="2"/>
      <c r="N30" s="23">
        <f t="shared" si="1"/>
        <v>0</v>
      </c>
      <c r="O30" s="11"/>
      <c r="P30" s="2">
        <f>--6985.63</f>
        <v>6985.63</v>
      </c>
      <c r="Q30" s="2"/>
      <c r="R30" s="23"/>
      <c r="S30" s="2"/>
      <c r="T30" s="2"/>
      <c r="U30" s="2"/>
      <c r="V30" s="23"/>
      <c r="W30" s="2"/>
      <c r="X30" s="2">
        <f t="shared" si="2"/>
        <v>6985.63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--6568.52</f>
        <v>6568.52</v>
      </c>
      <c r="E31" s="2"/>
      <c r="F31" s="23"/>
      <c r="G31" s="2"/>
      <c r="H31" s="2"/>
      <c r="I31" s="2"/>
      <c r="J31" s="23"/>
      <c r="K31" s="2"/>
      <c r="L31" s="2">
        <f t="shared" si="0"/>
        <v>6568.52</v>
      </c>
      <c r="M31" s="2"/>
      <c r="N31" s="23">
        <f t="shared" si="1"/>
        <v>0</v>
      </c>
      <c r="O31" s="11"/>
      <c r="P31" s="2">
        <f>--8369.2</f>
        <v>8369.2000000000007</v>
      </c>
      <c r="Q31" s="2"/>
      <c r="R31" s="23"/>
      <c r="S31" s="2"/>
      <c r="T31" s="2"/>
      <c r="U31" s="2"/>
      <c r="V31" s="23"/>
      <c r="W31" s="2"/>
      <c r="X31" s="2">
        <f t="shared" si="2"/>
        <v>8369.2000000000007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--46004.35</f>
        <v>46004.35</v>
      </c>
      <c r="E32" s="2"/>
      <c r="F32" s="23"/>
      <c r="G32" s="2"/>
      <c r="H32" s="2"/>
      <c r="I32" s="2"/>
      <c r="J32" s="23"/>
      <c r="K32" s="2"/>
      <c r="L32" s="2">
        <f t="shared" si="0"/>
        <v>46004.35</v>
      </c>
      <c r="M32" s="2"/>
      <c r="N32" s="23">
        <f t="shared" si="1"/>
        <v>0</v>
      </c>
      <c r="O32" s="11"/>
      <c r="P32" s="2">
        <f>--89431.08</f>
        <v>89431.08</v>
      </c>
      <c r="Q32" s="2"/>
      <c r="R32" s="23"/>
      <c r="S32" s="2"/>
      <c r="T32" s="2"/>
      <c r="U32" s="2"/>
      <c r="V32" s="23"/>
      <c r="W32" s="2"/>
      <c r="X32" s="2">
        <f t="shared" si="2"/>
        <v>89431.08</v>
      </c>
      <c r="Y32" s="2"/>
      <c r="Z32" s="23">
        <f t="shared" si="3"/>
        <v>0</v>
      </c>
    </row>
    <row r="33" spans="1:26" s="24" customFormat="1" hidden="1" outlineLevel="1" x14ac:dyDescent="0.25">
      <c r="A33" s="51"/>
      <c r="B33" s="11" t="str">
        <f>CONCATENATE("          ", "4100", " - ", "NON-TAXABLE SALES")</f>
        <v xml:space="preserve">          4100 - NON-TAXABLE SALES</v>
      </c>
      <c r="C33" s="11"/>
      <c r="D33" s="2">
        <f>--150360.03</f>
        <v>150360.03</v>
      </c>
      <c r="E33" s="2"/>
      <c r="F33" s="23"/>
      <c r="G33" s="2"/>
      <c r="H33" s="2">
        <v>12076</v>
      </c>
      <c r="I33" s="2"/>
      <c r="J33" s="23"/>
      <c r="K33" s="2"/>
      <c r="L33" s="2">
        <f t="shared" si="0"/>
        <v>138284.03</v>
      </c>
      <c r="M33" s="2"/>
      <c r="N33" s="23">
        <f t="shared" si="1"/>
        <v>11.451145246770453</v>
      </c>
      <c r="O33" s="11"/>
      <c r="P33" s="2">
        <f>--153398.33</f>
        <v>153398.32999999999</v>
      </c>
      <c r="Q33" s="2"/>
      <c r="R33" s="23"/>
      <c r="S33" s="2"/>
      <c r="T33" s="2">
        <v>12626</v>
      </c>
      <c r="U33" s="2"/>
      <c r="V33" s="23"/>
      <c r="W33" s="2"/>
      <c r="X33" s="2">
        <f t="shared" si="2"/>
        <v>140772.32999999999</v>
      </c>
      <c r="Y33" s="2"/>
      <c r="Z33" s="23">
        <f t="shared" si="3"/>
        <v>11.149400443529224</v>
      </c>
    </row>
    <row r="34" spans="1:26" s="24" customFormat="1" hidden="1" outlineLevel="1" x14ac:dyDescent="0.25">
      <c r="A34" s="51"/>
      <c r="B34" s="11" t="str">
        <f>CONCATENATE("          ", "4101", " - ", "NON-TAXABLE SALES-NEW TEXT")</f>
        <v xml:space="preserve">          4101 - NON-TAXABLE SALES-NEW TEXT</v>
      </c>
      <c r="C34" s="11"/>
      <c r="D34" s="2">
        <f>--41238.82</f>
        <v>41238.82</v>
      </c>
      <c r="E34" s="2"/>
      <c r="F34" s="23"/>
      <c r="G34" s="2"/>
      <c r="H34" s="2"/>
      <c r="I34" s="2"/>
      <c r="J34" s="23"/>
      <c r="K34" s="2"/>
      <c r="L34" s="2">
        <f t="shared" si="0"/>
        <v>41238.82</v>
      </c>
      <c r="M34" s="2"/>
      <c r="N34" s="23">
        <f t="shared" si="1"/>
        <v>0</v>
      </c>
      <c r="O34" s="11"/>
      <c r="P34" s="2">
        <f>--51580.68</f>
        <v>51580.68</v>
      </c>
      <c r="Q34" s="2"/>
      <c r="R34" s="23"/>
      <c r="S34" s="2"/>
      <c r="T34" s="2"/>
      <c r="U34" s="2"/>
      <c r="V34" s="23"/>
      <c r="W34" s="2"/>
      <c r="X34" s="2">
        <f t="shared" si="2"/>
        <v>51580.68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"4102", " - ", "NON-TAXABLE SALES-USED TEXT")</f>
        <v xml:space="preserve">          4102 - NON-TAXABLE SALES-USED TEXT</v>
      </c>
      <c r="C35" s="11"/>
      <c r="D35" s="2">
        <f>--17373.3</f>
        <v>17373.3</v>
      </c>
      <c r="E35" s="2"/>
      <c r="F35" s="23"/>
      <c r="G35" s="2"/>
      <c r="H35" s="2"/>
      <c r="I35" s="2"/>
      <c r="J35" s="23"/>
      <c r="K35" s="2"/>
      <c r="L35" s="2">
        <f t="shared" si="0"/>
        <v>17373.3</v>
      </c>
      <c r="M35" s="2"/>
      <c r="N35" s="23">
        <f t="shared" si="1"/>
        <v>0</v>
      </c>
      <c r="O35" s="11"/>
      <c r="P35" s="2">
        <f>--21563.74</f>
        <v>21563.74</v>
      </c>
      <c r="Q35" s="2"/>
      <c r="R35" s="23"/>
      <c r="S35" s="2"/>
      <c r="T35" s="2"/>
      <c r="U35" s="2"/>
      <c r="V35" s="23"/>
      <c r="W35" s="2"/>
      <c r="X35" s="2">
        <f t="shared" si="2"/>
        <v>21563.74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"4104", " - ", "NON-TAXABLE SALES-DIGITAL TEXT")</f>
        <v xml:space="preserve">          4104 - NON-TAXABLE SALES-DIGITAL TEXT</v>
      </c>
      <c r="C36" s="11"/>
      <c r="D36" s="2">
        <f>--205404.66</f>
        <v>205404.66</v>
      </c>
      <c r="E36" s="2"/>
      <c r="F36" s="23"/>
      <c r="G36" s="2"/>
      <c r="H36" s="2"/>
      <c r="I36" s="2"/>
      <c r="J36" s="23"/>
      <c r="K36" s="2"/>
      <c r="L36" s="2">
        <f t="shared" si="0"/>
        <v>205404.66</v>
      </c>
      <c r="M36" s="2"/>
      <c r="N36" s="23">
        <f t="shared" si="1"/>
        <v>0</v>
      </c>
      <c r="O36" s="11"/>
      <c r="P36" s="2">
        <f>--212890.18</f>
        <v>212890.18</v>
      </c>
      <c r="Q36" s="2"/>
      <c r="R36" s="23"/>
      <c r="S36" s="2"/>
      <c r="T36" s="2"/>
      <c r="U36" s="2"/>
      <c r="V36" s="23"/>
      <c r="W36" s="2"/>
      <c r="X36" s="2">
        <f t="shared" si="2"/>
        <v>212890.18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"4118", " - ", "NON-TAXABLE SALES-STUDY GUIDES")</f>
        <v xml:space="preserve">          4118 - NON-TAXABLE SALES-STUDY GUIDES</v>
      </c>
      <c r="C37" s="11"/>
      <c r="D37" s="2">
        <f>--47.87</f>
        <v>47.87</v>
      </c>
      <c r="E37" s="2"/>
      <c r="F37" s="23"/>
      <c r="G37" s="2"/>
      <c r="H37" s="2"/>
      <c r="I37" s="2"/>
      <c r="J37" s="23"/>
      <c r="K37" s="2"/>
      <c r="L37" s="2">
        <f t="shared" si="0"/>
        <v>47.87</v>
      </c>
      <c r="M37" s="2"/>
      <c r="N37" s="23">
        <f t="shared" si="1"/>
        <v>0</v>
      </c>
      <c r="O37" s="11"/>
      <c r="P37" s="2">
        <f>--101.83</f>
        <v>101.83</v>
      </c>
      <c r="Q37" s="2"/>
      <c r="R37" s="23"/>
      <c r="S37" s="2"/>
      <c r="T37" s="2"/>
      <c r="U37" s="2"/>
      <c r="V37" s="23"/>
      <c r="W37" s="2"/>
      <c r="X37" s="2">
        <f t="shared" si="2"/>
        <v>101.83</v>
      </c>
      <c r="Y37" s="2"/>
      <c r="Z37" s="23">
        <f t="shared" si="3"/>
        <v>0</v>
      </c>
    </row>
    <row r="38" spans="1:26" s="24" customFormat="1" hidden="1" outlineLevel="1" x14ac:dyDescent="0.25">
      <c r="A38" s="51"/>
      <c r="B38" s="11" t="str">
        <f>CONCATENATE("          ", "4126", " - ", "NON-TAXABLE SALES-WRITING INST")</f>
        <v xml:space="preserve">          4126 - NON-TAXABLE SALES-WRITING INST</v>
      </c>
      <c r="C38" s="11"/>
      <c r="D38" s="2">
        <f>0</f>
        <v>0</v>
      </c>
      <c r="E38" s="2"/>
      <c r="F38" s="23"/>
      <c r="G38" s="2"/>
      <c r="H38" s="2"/>
      <c r="I38" s="2"/>
      <c r="J38" s="23"/>
      <c r="K38" s="2"/>
      <c r="L38" s="2">
        <f t="shared" si="0"/>
        <v>0</v>
      </c>
      <c r="M38" s="2"/>
      <c r="N38" s="23">
        <f t="shared" si="1"/>
        <v>0</v>
      </c>
      <c r="O38" s="11"/>
      <c r="P38" s="2">
        <f>--52.68</f>
        <v>52.68</v>
      </c>
      <c r="Q38" s="2"/>
      <c r="R38" s="23"/>
      <c r="S38" s="2"/>
      <c r="T38" s="2"/>
      <c r="U38" s="2"/>
      <c r="V38" s="23"/>
      <c r="W38" s="2"/>
      <c r="X38" s="2">
        <f t="shared" si="2"/>
        <v>52.68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"4127", " - ", "NON-TAXABLE SALES-SCHOOL SUPPL")</f>
        <v xml:space="preserve">          4127 - NON-TAXABLE SALES-SCHOOL SUPPL</v>
      </c>
      <c r="C39" s="11"/>
      <c r="D39" s="2">
        <f>--1788.16</f>
        <v>1788.16</v>
      </c>
      <c r="E39" s="2"/>
      <c r="F39" s="23"/>
      <c r="G39" s="2"/>
      <c r="H39" s="2"/>
      <c r="I39" s="2"/>
      <c r="J39" s="23"/>
      <c r="K39" s="2"/>
      <c r="L39" s="2">
        <f t="shared" si="0"/>
        <v>1788.16</v>
      </c>
      <c r="M39" s="2"/>
      <c r="N39" s="23">
        <f t="shared" si="1"/>
        <v>0</v>
      </c>
      <c r="O39" s="11"/>
      <c r="P39" s="2">
        <f>--1860.41</f>
        <v>1860.41</v>
      </c>
      <c r="Q39" s="2"/>
      <c r="R39" s="23"/>
      <c r="S39" s="2"/>
      <c r="T39" s="2"/>
      <c r="U39" s="2"/>
      <c r="V39" s="23"/>
      <c r="W39" s="2"/>
      <c r="X39" s="2">
        <f t="shared" si="2"/>
        <v>1860.41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"4131", " - ", "NON-TAXABLE SALES-FOOD")</f>
        <v xml:space="preserve">          4131 - NON-TAXABLE SALES-FOOD</v>
      </c>
      <c r="C40" s="11"/>
      <c r="D40" s="2">
        <f>--1575.79</f>
        <v>1575.79</v>
      </c>
      <c r="E40" s="2"/>
      <c r="F40" s="23"/>
      <c r="G40" s="2"/>
      <c r="H40" s="2"/>
      <c r="I40" s="2"/>
      <c r="J40" s="23"/>
      <c r="K40" s="2"/>
      <c r="L40" s="2">
        <f t="shared" si="0"/>
        <v>1575.79</v>
      </c>
      <c r="M40" s="2"/>
      <c r="N40" s="23">
        <f t="shared" si="1"/>
        <v>0</v>
      </c>
      <c r="O40" s="11"/>
      <c r="P40" s="2">
        <f>--1835.22</f>
        <v>1835.22</v>
      </c>
      <c r="Q40" s="2"/>
      <c r="R40" s="23"/>
      <c r="S40" s="2"/>
      <c r="T40" s="2"/>
      <c r="U40" s="2"/>
      <c r="V40" s="23"/>
      <c r="W40" s="2"/>
      <c r="X40" s="2">
        <f t="shared" si="2"/>
        <v>1835.22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"4132", " - ", "NON-TAXABLE SALES-JUICE")</f>
        <v xml:space="preserve">          4132 - NON-TAXABLE SALES-JUICE</v>
      </c>
      <c r="C41" s="11"/>
      <c r="D41" s="2">
        <f>--625.8</f>
        <v>625.79999999999995</v>
      </c>
      <c r="E41" s="2"/>
      <c r="F41" s="23"/>
      <c r="G41" s="2"/>
      <c r="H41" s="2"/>
      <c r="I41" s="2"/>
      <c r="J41" s="23"/>
      <c r="K41" s="2"/>
      <c r="L41" s="2">
        <f t="shared" si="0"/>
        <v>625.79999999999995</v>
      </c>
      <c r="M41" s="2"/>
      <c r="N41" s="23">
        <f t="shared" si="1"/>
        <v>0</v>
      </c>
      <c r="O41" s="11"/>
      <c r="P41" s="2">
        <f>--648.29</f>
        <v>648.29</v>
      </c>
      <c r="Q41" s="2"/>
      <c r="R41" s="23"/>
      <c r="S41" s="2"/>
      <c r="T41" s="2"/>
      <c r="U41" s="2"/>
      <c r="V41" s="23"/>
      <c r="W41" s="2"/>
      <c r="X41" s="2">
        <f t="shared" si="2"/>
        <v>648.29</v>
      </c>
      <c r="Y41" s="2"/>
      <c r="Z41" s="23">
        <f t="shared" si="3"/>
        <v>0</v>
      </c>
    </row>
    <row r="42" spans="1:26" s="24" customFormat="1" hidden="1" outlineLevel="1" x14ac:dyDescent="0.25">
      <c r="A42" s="51"/>
      <c r="B42" s="11" t="str">
        <f>CONCATENATE("          ", "4133", " - ", "NON-TAXABLE SALES-CANDY")</f>
        <v xml:space="preserve">          4133 - NON-TAXABLE SALES-CANDY</v>
      </c>
      <c r="C42" s="11"/>
      <c r="D42" s="2">
        <f>--12.43</f>
        <v>12.43</v>
      </c>
      <c r="E42" s="2"/>
      <c r="F42" s="23"/>
      <c r="G42" s="2"/>
      <c r="H42" s="2"/>
      <c r="I42" s="2"/>
      <c r="J42" s="23"/>
      <c r="K42" s="2"/>
      <c r="L42" s="2">
        <f t="shared" si="0"/>
        <v>12.43</v>
      </c>
      <c r="M42" s="2"/>
      <c r="N42" s="23">
        <f t="shared" si="1"/>
        <v>0</v>
      </c>
      <c r="O42" s="11"/>
      <c r="P42" s="2">
        <f>--80.71</f>
        <v>80.709999999999994</v>
      </c>
      <c r="Q42" s="2"/>
      <c r="R42" s="23"/>
      <c r="S42" s="2"/>
      <c r="T42" s="2"/>
      <c r="U42" s="2"/>
      <c r="V42" s="23"/>
      <c r="W42" s="2"/>
      <c r="X42" s="2">
        <f t="shared" si="2"/>
        <v>80.709999999999994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"4134", " - ", "NON-TAXABLE SALES-SODA")</f>
        <v xml:space="preserve">          4134 - NON-TAXABLE SALES-SODA</v>
      </c>
      <c r="C43" s="11"/>
      <c r="D43" s="2">
        <f t="shared" ref="D43:D44" si="4">0</f>
        <v>0</v>
      </c>
      <c r="E43" s="2"/>
      <c r="F43" s="23"/>
      <c r="G43" s="2"/>
      <c r="H43" s="2"/>
      <c r="I43" s="2"/>
      <c r="J43" s="23"/>
      <c r="K43" s="2"/>
      <c r="L43" s="2">
        <f t="shared" si="0"/>
        <v>0</v>
      </c>
      <c r="M43" s="2"/>
      <c r="N43" s="23">
        <f t="shared" si="1"/>
        <v>0</v>
      </c>
      <c r="O43" s="11"/>
      <c r="P43" s="2">
        <f>--45.53</f>
        <v>45.53</v>
      </c>
      <c r="Q43" s="2"/>
      <c r="R43" s="23"/>
      <c r="S43" s="2"/>
      <c r="T43" s="2"/>
      <c r="U43" s="2"/>
      <c r="V43" s="23"/>
      <c r="W43" s="2"/>
      <c r="X43" s="2">
        <f t="shared" si="2"/>
        <v>45.53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"4137", " - ", "NON-TAXABLE SALES-WATER")</f>
        <v xml:space="preserve">          4137 - NON-TAXABLE SALES-WATER</v>
      </c>
      <c r="C44" s="11"/>
      <c r="D44" s="2">
        <f t="shared" si="4"/>
        <v>0</v>
      </c>
      <c r="E44" s="2"/>
      <c r="F44" s="23"/>
      <c r="G44" s="2"/>
      <c r="H44" s="2"/>
      <c r="I44" s="2"/>
      <c r="J44" s="23"/>
      <c r="K44" s="2"/>
      <c r="L44" s="2">
        <f t="shared" si="0"/>
        <v>0</v>
      </c>
      <c r="M44" s="2"/>
      <c r="N44" s="23">
        <f t="shared" si="1"/>
        <v>0</v>
      </c>
      <c r="O44" s="11"/>
      <c r="P44" s="2">
        <f>--68.25</f>
        <v>68.25</v>
      </c>
      <c r="Q44" s="2"/>
      <c r="R44" s="23"/>
      <c r="S44" s="2"/>
      <c r="T44" s="2"/>
      <c r="U44" s="2"/>
      <c r="V44" s="23"/>
      <c r="W44" s="2"/>
      <c r="X44" s="2">
        <f t="shared" si="2"/>
        <v>68.25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"4140", " - ", "NON-TAXABLE SALES-LOGO CLOTHIN")</f>
        <v xml:space="preserve">          4140 - NON-TAXABLE SALES-LOGO CLOTHIN</v>
      </c>
      <c r="C45" s="11"/>
      <c r="D45" s="2">
        <f>--7266.5</f>
        <v>7266.5</v>
      </c>
      <c r="E45" s="2"/>
      <c r="F45" s="23"/>
      <c r="G45" s="2"/>
      <c r="H45" s="2"/>
      <c r="I45" s="2"/>
      <c r="J45" s="23"/>
      <c r="K45" s="2"/>
      <c r="L45" s="2">
        <f t="shared" si="0"/>
        <v>7266.5</v>
      </c>
      <c r="M45" s="2"/>
      <c r="N45" s="23">
        <f t="shared" si="1"/>
        <v>0</v>
      </c>
      <c r="O45" s="11"/>
      <c r="P45" s="2">
        <f>--14112.74</f>
        <v>14112.74</v>
      </c>
      <c r="Q45" s="2"/>
      <c r="R45" s="23"/>
      <c r="S45" s="2"/>
      <c r="T45" s="2"/>
      <c r="U45" s="2"/>
      <c r="V45" s="23"/>
      <c r="W45" s="2"/>
      <c r="X45" s="2">
        <f t="shared" si="2"/>
        <v>14112.74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"4141", " - ", "NON-TAXABLE SALES-LOGO GIFTS")</f>
        <v xml:space="preserve">          4141 - NON-TAXABLE SALES-LOGO GIFTS</v>
      </c>
      <c r="C46" s="11"/>
      <c r="D46" s="2">
        <f>--1189.06</f>
        <v>1189.06</v>
      </c>
      <c r="E46" s="2"/>
      <c r="F46" s="23"/>
      <c r="G46" s="2"/>
      <c r="H46" s="2"/>
      <c r="I46" s="2"/>
      <c r="J46" s="23"/>
      <c r="K46" s="2"/>
      <c r="L46" s="2">
        <f t="shared" si="0"/>
        <v>1189.06</v>
      </c>
      <c r="M46" s="2"/>
      <c r="N46" s="23">
        <f t="shared" si="1"/>
        <v>0</v>
      </c>
      <c r="O46" s="11"/>
      <c r="P46" s="2">
        <f>--2389.25</f>
        <v>2389.25</v>
      </c>
      <c r="Q46" s="2"/>
      <c r="R46" s="23"/>
      <c r="S46" s="2"/>
      <c r="T46" s="2"/>
      <c r="U46" s="2"/>
      <c r="V46" s="23"/>
      <c r="W46" s="2"/>
      <c r="X46" s="2">
        <f t="shared" si="2"/>
        <v>2389.25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"4142", " - ", "NON-TAXABLE SALES-EVERYDAY GIF")</f>
        <v xml:space="preserve">          4142 - NON-TAXABLE SALES-EVERYDAY GIF</v>
      </c>
      <c r="C47" s="11"/>
      <c r="D47" s="2">
        <f>--339.4</f>
        <v>339.4</v>
      </c>
      <c r="E47" s="2"/>
      <c r="F47" s="23"/>
      <c r="G47" s="2"/>
      <c r="H47" s="2"/>
      <c r="I47" s="2"/>
      <c r="J47" s="23"/>
      <c r="K47" s="2"/>
      <c r="L47" s="2">
        <f t="shared" si="0"/>
        <v>339.4</v>
      </c>
      <c r="M47" s="2"/>
      <c r="N47" s="23">
        <f t="shared" si="1"/>
        <v>0</v>
      </c>
      <c r="O47" s="11"/>
      <c r="P47" s="2">
        <f>--979.57</f>
        <v>979.57</v>
      </c>
      <c r="Q47" s="2"/>
      <c r="R47" s="23"/>
      <c r="S47" s="2"/>
      <c r="T47" s="2"/>
      <c r="U47" s="2"/>
      <c r="V47" s="23"/>
      <c r="W47" s="2"/>
      <c r="X47" s="2">
        <f t="shared" si="2"/>
        <v>979.57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"4143", " - ", "NON-TAXABLE SALES-CARDS")</f>
        <v xml:space="preserve">          4143 - NON-TAXABLE SALES-CARDS</v>
      </c>
      <c r="C48" s="11"/>
      <c r="D48" s="2">
        <f>--19.98</f>
        <v>19.98</v>
      </c>
      <c r="E48" s="2"/>
      <c r="F48" s="23"/>
      <c r="G48" s="2"/>
      <c r="H48" s="2"/>
      <c r="I48" s="2"/>
      <c r="J48" s="23"/>
      <c r="K48" s="2"/>
      <c r="L48" s="2">
        <f t="shared" si="0"/>
        <v>19.98</v>
      </c>
      <c r="M48" s="2"/>
      <c r="N48" s="23">
        <f t="shared" si="1"/>
        <v>0</v>
      </c>
      <c r="O48" s="11"/>
      <c r="P48" s="2">
        <f>--19.98</f>
        <v>19.98</v>
      </c>
      <c r="Q48" s="2"/>
      <c r="R48" s="23"/>
      <c r="S48" s="2"/>
      <c r="T48" s="2"/>
      <c r="U48" s="2"/>
      <c r="V48" s="23"/>
      <c r="W48" s="2"/>
      <c r="X48" s="2">
        <f t="shared" si="2"/>
        <v>19.98</v>
      </c>
      <c r="Y48" s="2"/>
      <c r="Z48" s="23">
        <f t="shared" si="3"/>
        <v>0</v>
      </c>
    </row>
    <row r="49" spans="1:26" s="24" customFormat="1" hidden="1" outlineLevel="1" x14ac:dyDescent="0.25">
      <c r="A49" s="51"/>
      <c r="B49" s="11" t="str">
        <f>CONCATENATE("          ", "4144", " - ", "NON-TAXABLE SALES-ACCESSORIES")</f>
        <v xml:space="preserve">          4144 - NON-TAXABLE SALES-ACCESSORIES</v>
      </c>
      <c r="C49" s="11"/>
      <c r="D49" s="2">
        <f>--107.95</f>
        <v>107.95</v>
      </c>
      <c r="E49" s="2"/>
      <c r="F49" s="23"/>
      <c r="G49" s="2"/>
      <c r="H49" s="2"/>
      <c r="I49" s="2"/>
      <c r="J49" s="23"/>
      <c r="K49" s="2"/>
      <c r="L49" s="2">
        <f t="shared" si="0"/>
        <v>107.95</v>
      </c>
      <c r="M49" s="2"/>
      <c r="N49" s="23">
        <f t="shared" si="1"/>
        <v>0</v>
      </c>
      <c r="O49" s="11"/>
      <c r="P49" s="2">
        <f>--155.8</f>
        <v>155.80000000000001</v>
      </c>
      <c r="Q49" s="2"/>
      <c r="R49" s="23"/>
      <c r="S49" s="2"/>
      <c r="T49" s="2"/>
      <c r="U49" s="2"/>
      <c r="V49" s="23"/>
      <c r="W49" s="2"/>
      <c r="X49" s="2">
        <f t="shared" si="2"/>
        <v>155.80000000000001</v>
      </c>
      <c r="Y49" s="2"/>
      <c r="Z49" s="23">
        <f t="shared" si="3"/>
        <v>0</v>
      </c>
    </row>
    <row r="50" spans="1:26" s="24" customFormat="1" hidden="1" outlineLevel="1" x14ac:dyDescent="0.25">
      <c r="A50" s="51"/>
      <c r="B50" s="11" t="str">
        <f>CONCATENATE("          ", "4145", " - ", "NON-TAXABLE SALES-SPECIAL ORDE")</f>
        <v xml:space="preserve">          4145 - NON-TAXABLE SALES-SPECIAL ORDE</v>
      </c>
      <c r="C50" s="11"/>
      <c r="D50" s="2">
        <f>--350</f>
        <v>350</v>
      </c>
      <c r="E50" s="2"/>
      <c r="F50" s="23"/>
      <c r="G50" s="2"/>
      <c r="H50" s="2"/>
      <c r="I50" s="2"/>
      <c r="J50" s="23"/>
      <c r="K50" s="2"/>
      <c r="L50" s="2">
        <f t="shared" si="0"/>
        <v>350</v>
      </c>
      <c r="M50" s="2"/>
      <c r="N50" s="23">
        <f t="shared" si="1"/>
        <v>0</v>
      </c>
      <c r="O50" s="11"/>
      <c r="P50" s="2">
        <f>--35846</f>
        <v>35846</v>
      </c>
      <c r="Q50" s="2"/>
      <c r="R50" s="23"/>
      <c r="S50" s="2"/>
      <c r="T50" s="2"/>
      <c r="U50" s="2"/>
      <c r="V50" s="23"/>
      <c r="W50" s="2"/>
      <c r="X50" s="2">
        <f t="shared" si="2"/>
        <v>35846</v>
      </c>
      <c r="Y50" s="2"/>
      <c r="Z50" s="23">
        <f t="shared" si="3"/>
        <v>0</v>
      </c>
    </row>
    <row r="51" spans="1:26" s="24" customFormat="1" hidden="1" outlineLevel="1" x14ac:dyDescent="0.25">
      <c r="A51" s="51"/>
      <c r="B51" s="11" t="str">
        <f>CONCATENATE("          ", "4146", " - ", "NON-TAXABLE SALES-COIN OP MACH")</f>
        <v xml:space="preserve">          4146 - NON-TAXABLE SALES-COIN OP MACH</v>
      </c>
      <c r="C51" s="11"/>
      <c r="D51" s="2">
        <f>--15.5</f>
        <v>15.5</v>
      </c>
      <c r="E51" s="2"/>
      <c r="F51" s="23"/>
      <c r="G51" s="2"/>
      <c r="H51" s="2"/>
      <c r="I51" s="2"/>
      <c r="J51" s="23"/>
      <c r="K51" s="2"/>
      <c r="L51" s="2">
        <f t="shared" si="0"/>
        <v>15.5</v>
      </c>
      <c r="M51" s="2"/>
      <c r="N51" s="23">
        <f t="shared" si="1"/>
        <v>0</v>
      </c>
      <c r="O51" s="11"/>
      <c r="P51" s="2">
        <f>--15.5</f>
        <v>15.5</v>
      </c>
      <c r="Q51" s="2"/>
      <c r="R51" s="23"/>
      <c r="S51" s="2"/>
      <c r="T51" s="2"/>
      <c r="U51" s="2"/>
      <c r="V51" s="23"/>
      <c r="W51" s="2"/>
      <c r="X51" s="2">
        <f t="shared" si="2"/>
        <v>15.5</v>
      </c>
      <c r="Y51" s="2"/>
      <c r="Z51" s="23">
        <f t="shared" si="3"/>
        <v>0</v>
      </c>
    </row>
    <row r="52" spans="1:26" s="24" customFormat="1" hidden="1" outlineLevel="1" x14ac:dyDescent="0.25">
      <c r="A52" s="51"/>
      <c r="B52" s="11" t="str">
        <f>CONCATENATE("          ", "4147", " - ", "NON-TAXABLE SALES-MISC")</f>
        <v xml:space="preserve">          4147 - NON-TAXABLE SALES-MISC</v>
      </c>
      <c r="C52" s="11"/>
      <c r="D52" s="2">
        <f>--23</f>
        <v>23</v>
      </c>
      <c r="E52" s="2"/>
      <c r="F52" s="23"/>
      <c r="G52" s="2"/>
      <c r="H52" s="2"/>
      <c r="I52" s="2"/>
      <c r="J52" s="23"/>
      <c r="K52" s="2"/>
      <c r="L52" s="2">
        <f t="shared" si="0"/>
        <v>23</v>
      </c>
      <c r="M52" s="2"/>
      <c r="N52" s="23">
        <f t="shared" si="1"/>
        <v>0</v>
      </c>
      <c r="O52" s="11"/>
      <c r="P52" s="2">
        <f>--24</f>
        <v>24</v>
      </c>
      <c r="Q52" s="2"/>
      <c r="R52" s="23"/>
      <c r="S52" s="2"/>
      <c r="T52" s="2"/>
      <c r="U52" s="2"/>
      <c r="V52" s="23"/>
      <c r="W52" s="2"/>
      <c r="X52" s="2">
        <f t="shared" si="2"/>
        <v>24</v>
      </c>
      <c r="Y52" s="2"/>
      <c r="Z52" s="23">
        <f t="shared" si="3"/>
        <v>0</v>
      </c>
    </row>
    <row r="53" spans="1:26" s="24" customFormat="1" hidden="1" outlineLevel="1" x14ac:dyDescent="0.25">
      <c r="A53" s="51"/>
      <c r="B53" s="11" t="str">
        <f>CONCATENATE("          ", "4153", " - ", "NON-TAXABLE SALES-FOOD")</f>
        <v xml:space="preserve">          4153 - NON-TAXABLE SALES-FOOD</v>
      </c>
      <c r="C53" s="11"/>
      <c r="D53" s="2">
        <f>--110</f>
        <v>110</v>
      </c>
      <c r="E53" s="2"/>
      <c r="F53" s="23"/>
      <c r="G53" s="2"/>
      <c r="H53" s="2"/>
      <c r="I53" s="2"/>
      <c r="J53" s="23"/>
      <c r="K53" s="2"/>
      <c r="L53" s="2">
        <f t="shared" si="0"/>
        <v>110</v>
      </c>
      <c r="M53" s="2"/>
      <c r="N53" s="23">
        <f t="shared" si="1"/>
        <v>0</v>
      </c>
      <c r="O53" s="11"/>
      <c r="P53" s="2">
        <f>--110</f>
        <v>110</v>
      </c>
      <c r="Q53" s="2"/>
      <c r="R53" s="23"/>
      <c r="S53" s="2"/>
      <c r="T53" s="2"/>
      <c r="U53" s="2"/>
      <c r="V53" s="23"/>
      <c r="W53" s="2"/>
      <c r="X53" s="2">
        <f t="shared" si="2"/>
        <v>110</v>
      </c>
      <c r="Y53" s="2"/>
      <c r="Z53" s="23">
        <f t="shared" si="3"/>
        <v>0</v>
      </c>
    </row>
    <row r="54" spans="1:26" s="24" customFormat="1" hidden="1" outlineLevel="1" x14ac:dyDescent="0.25">
      <c r="A54" s="51"/>
      <c r="B54" s="11" t="str">
        <f>CONCATENATE("          ", "4201", " - ", "SALES RETURN TAXABLE-NEW TEXT")</f>
        <v xml:space="preserve">          4201 - SALES RETURN TAXABLE-NEW TEXT</v>
      </c>
      <c r="C54" s="11"/>
      <c r="D54" s="2">
        <f>-18222.39</f>
        <v>-18222.39</v>
      </c>
      <c r="E54" s="2"/>
      <c r="F54" s="23"/>
      <c r="G54" s="2"/>
      <c r="H54" s="2"/>
      <c r="I54" s="2"/>
      <c r="J54" s="23"/>
      <c r="K54" s="2"/>
      <c r="L54" s="2">
        <f t="shared" si="0"/>
        <v>-18222.39</v>
      </c>
      <c r="M54" s="2"/>
      <c r="N54" s="23">
        <f t="shared" si="1"/>
        <v>0</v>
      </c>
      <c r="O54" s="11"/>
      <c r="P54" s="2">
        <f>-18855.79</f>
        <v>-18855.79</v>
      </c>
      <c r="Q54" s="2"/>
      <c r="R54" s="23"/>
      <c r="S54" s="2"/>
      <c r="T54" s="2"/>
      <c r="U54" s="2"/>
      <c r="V54" s="23"/>
      <c r="W54" s="2"/>
      <c r="X54" s="2">
        <f t="shared" si="2"/>
        <v>-18855.79</v>
      </c>
      <c r="Y54" s="2"/>
      <c r="Z54" s="23">
        <f t="shared" si="3"/>
        <v>0</v>
      </c>
    </row>
    <row r="55" spans="1:26" s="24" customFormat="1" hidden="1" outlineLevel="1" x14ac:dyDescent="0.25">
      <c r="A55" s="51"/>
      <c r="B55" s="11" t="str">
        <f>CONCATENATE("          ", "4202", " - ", "SALES RETURN TAXABLE-USED TEXT")</f>
        <v xml:space="preserve">          4202 - SALES RETURN TAXABLE-USED TEXT</v>
      </c>
      <c r="C55" s="11"/>
      <c r="D55" s="2">
        <f>-8869.4</f>
        <v>-8869.4</v>
      </c>
      <c r="E55" s="2"/>
      <c r="F55" s="23"/>
      <c r="G55" s="2"/>
      <c r="H55" s="2"/>
      <c r="I55" s="2"/>
      <c r="J55" s="23"/>
      <c r="K55" s="2"/>
      <c r="L55" s="2">
        <f t="shared" si="0"/>
        <v>-8869.4</v>
      </c>
      <c r="M55" s="2"/>
      <c r="N55" s="23">
        <f t="shared" si="1"/>
        <v>0</v>
      </c>
      <c r="O55" s="11"/>
      <c r="P55" s="2">
        <f>-9047.75</f>
        <v>-9047.75</v>
      </c>
      <c r="Q55" s="2"/>
      <c r="R55" s="23"/>
      <c r="S55" s="2"/>
      <c r="T55" s="2"/>
      <c r="U55" s="2"/>
      <c r="V55" s="23"/>
      <c r="W55" s="2"/>
      <c r="X55" s="2">
        <f t="shared" si="2"/>
        <v>-9047.75</v>
      </c>
      <c r="Y55" s="2"/>
      <c r="Z55" s="23">
        <f t="shared" si="3"/>
        <v>0</v>
      </c>
    </row>
    <row r="56" spans="1:26" s="24" customFormat="1" hidden="1" outlineLevel="1" x14ac:dyDescent="0.25">
      <c r="A56" s="51"/>
      <c r="B56" s="11" t="str">
        <f>CONCATENATE("          ", "4204", " - ", "SALES RETURN TAXABLE-DIGITAL T")</f>
        <v xml:space="preserve">          4204 - SALES RETURN TAXABLE-DIGITAL T</v>
      </c>
      <c r="C56" s="11"/>
      <c r="D56" s="2">
        <f>-1141.08</f>
        <v>-1141.08</v>
      </c>
      <c r="E56" s="2"/>
      <c r="F56" s="23"/>
      <c r="G56" s="2"/>
      <c r="H56" s="2"/>
      <c r="I56" s="2"/>
      <c r="J56" s="23"/>
      <c r="K56" s="2"/>
      <c r="L56" s="2">
        <f t="shared" si="0"/>
        <v>-1141.08</v>
      </c>
      <c r="M56" s="2"/>
      <c r="N56" s="23">
        <f t="shared" si="1"/>
        <v>0</v>
      </c>
      <c r="O56" s="11"/>
      <c r="P56" s="2">
        <f>-1141.08</f>
        <v>-1141.08</v>
      </c>
      <c r="Q56" s="2"/>
      <c r="R56" s="23"/>
      <c r="S56" s="2"/>
      <c r="T56" s="2"/>
      <c r="U56" s="2"/>
      <c r="V56" s="23"/>
      <c r="W56" s="2"/>
      <c r="X56" s="2">
        <f t="shared" si="2"/>
        <v>-1141.08</v>
      </c>
      <c r="Y56" s="2"/>
      <c r="Z56" s="23">
        <f t="shared" si="3"/>
        <v>0</v>
      </c>
    </row>
    <row r="57" spans="1:26" s="24" customFormat="1" hidden="1" outlineLevel="1" x14ac:dyDescent="0.25">
      <c r="A57" s="51"/>
      <c r="B57" s="11" t="str">
        <f>CONCATENATE("          ", "4226", " - ", "SALES RETURN TAXABLE-WRITING I")</f>
        <v xml:space="preserve">          4226 - SALES RETURN TAXABLE-WRITING I</v>
      </c>
      <c r="C57" s="11"/>
      <c r="D57" s="2">
        <f>0</f>
        <v>0</v>
      </c>
      <c r="E57" s="2"/>
      <c r="F57" s="23"/>
      <c r="G57" s="2"/>
      <c r="H57" s="2"/>
      <c r="I57" s="2"/>
      <c r="J57" s="23"/>
      <c r="K57" s="2"/>
      <c r="L57" s="2">
        <f t="shared" si="0"/>
        <v>0</v>
      </c>
      <c r="M57" s="2"/>
      <c r="N57" s="23">
        <f t="shared" si="1"/>
        <v>0</v>
      </c>
      <c r="O57" s="11"/>
      <c r="P57" s="2">
        <f>-6.38</f>
        <v>-6.38</v>
      </c>
      <c r="Q57" s="2"/>
      <c r="R57" s="23"/>
      <c r="S57" s="2"/>
      <c r="T57" s="2"/>
      <c r="U57" s="2"/>
      <c r="V57" s="23"/>
      <c r="W57" s="2"/>
      <c r="X57" s="2">
        <f t="shared" si="2"/>
        <v>-6.38</v>
      </c>
      <c r="Y57" s="2"/>
      <c r="Z57" s="23">
        <f t="shared" si="3"/>
        <v>0</v>
      </c>
    </row>
    <row r="58" spans="1:26" s="24" customFormat="1" hidden="1" outlineLevel="1" x14ac:dyDescent="0.25">
      <c r="A58" s="51"/>
      <c r="B58" s="11" t="str">
        <f>CONCATENATE("          ", "4227", " - ", "SALES RETURN TAXABLE-SCHOOL SU")</f>
        <v xml:space="preserve">          4227 - SALES RETURN TAXABLE-SCHOOL SU</v>
      </c>
      <c r="C58" s="11"/>
      <c r="D58" s="2">
        <f>-359.61</f>
        <v>-359.61</v>
      </c>
      <c r="E58" s="2"/>
      <c r="F58" s="23"/>
      <c r="G58" s="2"/>
      <c r="H58" s="2"/>
      <c r="I58" s="2"/>
      <c r="J58" s="23"/>
      <c r="K58" s="2"/>
      <c r="L58" s="2">
        <f t="shared" si="0"/>
        <v>-359.61</v>
      </c>
      <c r="M58" s="2"/>
      <c r="N58" s="23">
        <f t="shared" si="1"/>
        <v>0</v>
      </c>
      <c r="O58" s="11"/>
      <c r="P58" s="2">
        <f>-416.38</f>
        <v>-416.38</v>
      </c>
      <c r="Q58" s="2"/>
      <c r="R58" s="23"/>
      <c r="S58" s="2"/>
      <c r="T58" s="2"/>
      <c r="U58" s="2"/>
      <c r="V58" s="23"/>
      <c r="W58" s="2"/>
      <c r="X58" s="2">
        <f t="shared" si="2"/>
        <v>-416.38</v>
      </c>
      <c r="Y58" s="2"/>
      <c r="Z58" s="23">
        <f t="shared" si="3"/>
        <v>0</v>
      </c>
    </row>
    <row r="59" spans="1:26" s="24" customFormat="1" hidden="1" outlineLevel="1" x14ac:dyDescent="0.25">
      <c r="A59" s="51"/>
      <c r="B59" s="11" t="str">
        <f>CONCATENATE("          ", "4228", " - ", "SALES RETURN TAXABLE-ART/TECH")</f>
        <v xml:space="preserve">          4228 - SALES RETURN TAXABLE-ART/TECH</v>
      </c>
      <c r="C59" s="11"/>
      <c r="D59" s="2">
        <f>-164.44</f>
        <v>-164.44</v>
      </c>
      <c r="E59" s="2"/>
      <c r="F59" s="23"/>
      <c r="G59" s="2"/>
      <c r="H59" s="2"/>
      <c r="I59" s="2"/>
      <c r="J59" s="23"/>
      <c r="K59" s="2"/>
      <c r="L59" s="2">
        <f t="shared" si="0"/>
        <v>-164.44</v>
      </c>
      <c r="M59" s="2"/>
      <c r="N59" s="23">
        <f t="shared" si="1"/>
        <v>0</v>
      </c>
      <c r="O59" s="11"/>
      <c r="P59" s="2">
        <f>-164.44</f>
        <v>-164.44</v>
      </c>
      <c r="Q59" s="2"/>
      <c r="R59" s="23"/>
      <c r="S59" s="2"/>
      <c r="T59" s="2"/>
      <c r="U59" s="2"/>
      <c r="V59" s="23"/>
      <c r="W59" s="2"/>
      <c r="X59" s="2">
        <f t="shared" si="2"/>
        <v>-164.44</v>
      </c>
      <c r="Y59" s="2"/>
      <c r="Z59" s="23">
        <f t="shared" si="3"/>
        <v>0</v>
      </c>
    </row>
    <row r="60" spans="1:26" s="24" customFormat="1" hidden="1" outlineLevel="1" x14ac:dyDescent="0.25">
      <c r="A60" s="51"/>
      <c r="B60" s="11" t="str">
        <f>CONCATENATE("          ", "4240", " - ", "SALES RETURN TAXABLE-LOGO CLOT")</f>
        <v xml:space="preserve">          4240 - SALES RETURN TAXABLE-LOGO CLOT</v>
      </c>
      <c r="C60" s="11"/>
      <c r="D60" s="2">
        <f>-4788.72</f>
        <v>-4788.72</v>
      </c>
      <c r="E60" s="2"/>
      <c r="F60" s="23"/>
      <c r="G60" s="2"/>
      <c r="H60" s="2"/>
      <c r="I60" s="2"/>
      <c r="J60" s="23"/>
      <c r="K60" s="2"/>
      <c r="L60" s="2">
        <f t="shared" si="0"/>
        <v>-4788.72</v>
      </c>
      <c r="M60" s="2"/>
      <c r="N60" s="23">
        <f t="shared" si="1"/>
        <v>0</v>
      </c>
      <c r="O60" s="11"/>
      <c r="P60" s="2">
        <f>-8156.82</f>
        <v>-8156.82</v>
      </c>
      <c r="Q60" s="2"/>
      <c r="R60" s="23"/>
      <c r="S60" s="2"/>
      <c r="T60" s="2"/>
      <c r="U60" s="2"/>
      <c r="V60" s="23"/>
      <c r="W60" s="2"/>
      <c r="X60" s="2">
        <f t="shared" si="2"/>
        <v>-8156.82</v>
      </c>
      <c r="Y60" s="2"/>
      <c r="Z60" s="23">
        <f t="shared" si="3"/>
        <v>0</v>
      </c>
    </row>
    <row r="61" spans="1:26" s="24" customFormat="1" hidden="1" outlineLevel="1" x14ac:dyDescent="0.25">
      <c r="A61" s="51"/>
      <c r="B61" s="11" t="str">
        <f>CONCATENATE("          ", "4241", " - ", "SALES RETURN TAXABLE-LOGO GIFT")</f>
        <v xml:space="preserve">          4241 - SALES RETURN TAXABLE-LOGO GIFT</v>
      </c>
      <c r="C61" s="11"/>
      <c r="D61" s="2">
        <f>-986.21</f>
        <v>-986.21</v>
      </c>
      <c r="E61" s="2"/>
      <c r="F61" s="23"/>
      <c r="G61" s="2"/>
      <c r="H61" s="2"/>
      <c r="I61" s="2"/>
      <c r="J61" s="23"/>
      <c r="K61" s="2"/>
      <c r="L61" s="2">
        <f t="shared" si="0"/>
        <v>-986.21</v>
      </c>
      <c r="M61" s="2"/>
      <c r="N61" s="23">
        <f t="shared" si="1"/>
        <v>0</v>
      </c>
      <c r="O61" s="11"/>
      <c r="P61" s="2">
        <f>-1328.19</f>
        <v>-1328.19</v>
      </c>
      <c r="Q61" s="2"/>
      <c r="R61" s="23"/>
      <c r="S61" s="2"/>
      <c r="T61" s="2"/>
      <c r="U61" s="2"/>
      <c r="V61" s="23"/>
      <c r="W61" s="2"/>
      <c r="X61" s="2">
        <f t="shared" si="2"/>
        <v>-1328.19</v>
      </c>
      <c r="Y61" s="2"/>
      <c r="Z61" s="23">
        <f t="shared" si="3"/>
        <v>0</v>
      </c>
    </row>
    <row r="62" spans="1:26" s="24" customFormat="1" hidden="1" outlineLevel="1" x14ac:dyDescent="0.25">
      <c r="A62" s="51"/>
      <c r="B62" s="11" t="str">
        <f>CONCATENATE("          ", "4242", " - ", "SALES RETURN TAXABLE-EVERYDAY")</f>
        <v xml:space="preserve">          4242 - SALES RETURN TAXABLE-EVERYDAY</v>
      </c>
      <c r="C62" s="11"/>
      <c r="D62" s="2">
        <f>-470.53</f>
        <v>-470.53</v>
      </c>
      <c r="E62" s="2"/>
      <c r="F62" s="23"/>
      <c r="G62" s="2"/>
      <c r="H62" s="2"/>
      <c r="I62" s="2"/>
      <c r="J62" s="23"/>
      <c r="K62" s="2"/>
      <c r="L62" s="2">
        <f t="shared" si="0"/>
        <v>-470.53</v>
      </c>
      <c r="M62" s="2"/>
      <c r="N62" s="23">
        <f t="shared" si="1"/>
        <v>0</v>
      </c>
      <c r="O62" s="11"/>
      <c r="P62" s="2">
        <f>-649.49</f>
        <v>-649.49</v>
      </c>
      <c r="Q62" s="2"/>
      <c r="R62" s="23"/>
      <c r="S62" s="2"/>
      <c r="T62" s="2"/>
      <c r="U62" s="2"/>
      <c r="V62" s="23"/>
      <c r="W62" s="2"/>
      <c r="X62" s="2">
        <f t="shared" si="2"/>
        <v>-649.49</v>
      </c>
      <c r="Y62" s="2"/>
      <c r="Z62" s="23">
        <f t="shared" si="3"/>
        <v>0</v>
      </c>
    </row>
    <row r="63" spans="1:26" s="24" customFormat="1" hidden="1" outlineLevel="1" x14ac:dyDescent="0.25">
      <c r="A63" s="51"/>
      <c r="B63" s="11" t="str">
        <f>CONCATENATE("          ", "4243", " - ", "SALES RETURN TAXABLE-CARDS")</f>
        <v xml:space="preserve">          4243 - SALES RETURN TAXABLE-CARDS</v>
      </c>
      <c r="C63" s="11"/>
      <c r="D63" s="2">
        <f>-93.43</f>
        <v>-93.43</v>
      </c>
      <c r="E63" s="2"/>
      <c r="F63" s="23"/>
      <c r="G63" s="2"/>
      <c r="H63" s="2"/>
      <c r="I63" s="2"/>
      <c r="J63" s="23"/>
      <c r="K63" s="2"/>
      <c r="L63" s="2">
        <f t="shared" si="0"/>
        <v>-93.43</v>
      </c>
      <c r="M63" s="2"/>
      <c r="N63" s="23">
        <f t="shared" si="1"/>
        <v>0</v>
      </c>
      <c r="O63" s="11"/>
      <c r="P63" s="2">
        <f>-93.43</f>
        <v>-93.43</v>
      </c>
      <c r="Q63" s="2"/>
      <c r="R63" s="23"/>
      <c r="S63" s="2"/>
      <c r="T63" s="2"/>
      <c r="U63" s="2"/>
      <c r="V63" s="23"/>
      <c r="W63" s="2"/>
      <c r="X63" s="2">
        <f t="shared" si="2"/>
        <v>-93.43</v>
      </c>
      <c r="Y63" s="2"/>
      <c r="Z63" s="23">
        <f t="shared" si="3"/>
        <v>0</v>
      </c>
    </row>
    <row r="64" spans="1:26" s="24" customFormat="1" hidden="1" outlineLevel="1" x14ac:dyDescent="0.25">
      <c r="A64" s="51"/>
      <c r="B64" s="11" t="str">
        <f>CONCATENATE("          ", "4244", " - ", "SALES RETURN TAXABLE-ACCESSORI")</f>
        <v xml:space="preserve">          4244 - SALES RETURN TAXABLE-ACCESSORI</v>
      </c>
      <c r="C64" s="11"/>
      <c r="D64" s="2">
        <f>-350.99</f>
        <v>-350.99</v>
      </c>
      <c r="E64" s="2"/>
      <c r="F64" s="23"/>
      <c r="G64" s="2"/>
      <c r="H64" s="2"/>
      <c r="I64" s="2"/>
      <c r="J64" s="23"/>
      <c r="K64" s="2"/>
      <c r="L64" s="2">
        <f t="shared" si="0"/>
        <v>-350.99</v>
      </c>
      <c r="M64" s="2"/>
      <c r="N64" s="23">
        <f t="shared" si="1"/>
        <v>0</v>
      </c>
      <c r="O64" s="11"/>
      <c r="P64" s="2">
        <f>-350.99</f>
        <v>-350.99</v>
      </c>
      <c r="Q64" s="2"/>
      <c r="R64" s="23"/>
      <c r="S64" s="2"/>
      <c r="T64" s="2"/>
      <c r="U64" s="2"/>
      <c r="V64" s="23"/>
      <c r="W64" s="2"/>
      <c r="X64" s="2">
        <f t="shared" si="2"/>
        <v>-350.99</v>
      </c>
      <c r="Y64" s="2"/>
      <c r="Z64" s="23">
        <f t="shared" si="3"/>
        <v>0</v>
      </c>
    </row>
    <row r="65" spans="1:26" s="24" customFormat="1" hidden="1" outlineLevel="1" x14ac:dyDescent="0.25">
      <c r="A65" s="51"/>
      <c r="B65" s="11" t="str">
        <f>CONCATENATE("          ", "4245", " - ", "SALES RETURN TAXABLE-SPECIAL O")</f>
        <v xml:space="preserve">          4245 - SALES RETURN TAXABLE-SPECIAL O</v>
      </c>
      <c r="C65" s="11"/>
      <c r="D65" s="2">
        <f>-57.96</f>
        <v>-57.96</v>
      </c>
      <c r="E65" s="2"/>
      <c r="F65" s="23"/>
      <c r="G65" s="2"/>
      <c r="H65" s="2"/>
      <c r="I65" s="2"/>
      <c r="J65" s="23"/>
      <c r="K65" s="2"/>
      <c r="L65" s="2">
        <f t="shared" si="0"/>
        <v>-57.96</v>
      </c>
      <c r="M65" s="2"/>
      <c r="N65" s="23">
        <f t="shared" si="1"/>
        <v>0</v>
      </c>
      <c r="O65" s="11"/>
      <c r="P65" s="2">
        <f>-1178.96</f>
        <v>-1178.96</v>
      </c>
      <c r="Q65" s="2"/>
      <c r="R65" s="23"/>
      <c r="S65" s="2"/>
      <c r="T65" s="2"/>
      <c r="U65" s="2"/>
      <c r="V65" s="23"/>
      <c r="W65" s="2"/>
      <c r="X65" s="2">
        <f t="shared" si="2"/>
        <v>-1178.96</v>
      </c>
      <c r="Y65" s="2"/>
      <c r="Z65" s="23">
        <f t="shared" si="3"/>
        <v>0</v>
      </c>
    </row>
    <row r="66" spans="1:26" s="24" customFormat="1" hidden="1" outlineLevel="1" x14ac:dyDescent="0.25">
      <c r="A66" s="51"/>
      <c r="B66" s="11" t="str">
        <f>CONCATENATE("          ", "4301", " - ", "SALES RETURN NON TAXABLE-NEW T")</f>
        <v xml:space="preserve">          4301 - SALES RETURN NON TAXABLE-NEW T</v>
      </c>
      <c r="C66" s="11"/>
      <c r="D66" s="2">
        <f>-20.25</f>
        <v>-20.25</v>
      </c>
      <c r="E66" s="2"/>
      <c r="F66" s="23"/>
      <c r="G66" s="2"/>
      <c r="H66" s="2"/>
      <c r="I66" s="2"/>
      <c r="J66" s="23"/>
      <c r="K66" s="2"/>
      <c r="L66" s="2">
        <f t="shared" si="0"/>
        <v>-20.25</v>
      </c>
      <c r="M66" s="2"/>
      <c r="N66" s="23">
        <f t="shared" si="1"/>
        <v>0</v>
      </c>
      <c r="O66" s="11"/>
      <c r="P66" s="2">
        <f>-20.25</f>
        <v>-20.25</v>
      </c>
      <c r="Q66" s="2"/>
      <c r="R66" s="23"/>
      <c r="S66" s="2"/>
      <c r="T66" s="2"/>
      <c r="U66" s="2"/>
      <c r="V66" s="23"/>
      <c r="W66" s="2"/>
      <c r="X66" s="2">
        <f t="shared" si="2"/>
        <v>-20.25</v>
      </c>
      <c r="Y66" s="2"/>
      <c r="Z66" s="23">
        <f t="shared" si="3"/>
        <v>0</v>
      </c>
    </row>
    <row r="67" spans="1:26" s="24" customFormat="1" hidden="1" outlineLevel="1" x14ac:dyDescent="0.25">
      <c r="A67" s="51"/>
      <c r="B67" s="11" t="str">
        <f>CONCATENATE("          ", "4302", " - ", "SALES RETURN NON TAXABLE-TEXT")</f>
        <v xml:space="preserve">          4302 - SALES RETURN NON TAXABLE-TEXT</v>
      </c>
      <c r="C67" s="11"/>
      <c r="D67" s="2">
        <f>-346.17</f>
        <v>-346.17</v>
      </c>
      <c r="E67" s="2"/>
      <c r="F67" s="23"/>
      <c r="G67" s="2"/>
      <c r="H67" s="2"/>
      <c r="I67" s="2"/>
      <c r="J67" s="23"/>
      <c r="K67" s="2"/>
      <c r="L67" s="2">
        <f t="shared" si="0"/>
        <v>-346.17</v>
      </c>
      <c r="M67" s="2"/>
      <c r="N67" s="23">
        <f t="shared" si="1"/>
        <v>0</v>
      </c>
      <c r="O67" s="11"/>
      <c r="P67" s="2">
        <f>-409.84</f>
        <v>-409.84</v>
      </c>
      <c r="Q67" s="2"/>
      <c r="R67" s="23"/>
      <c r="S67" s="2"/>
      <c r="T67" s="2"/>
      <c r="U67" s="2"/>
      <c r="V67" s="23"/>
      <c r="W67" s="2"/>
      <c r="X67" s="2">
        <f t="shared" si="2"/>
        <v>-409.84</v>
      </c>
      <c r="Y67" s="2"/>
      <c r="Z67" s="23">
        <f t="shared" si="3"/>
        <v>0</v>
      </c>
    </row>
    <row r="68" spans="1:26" s="24" customFormat="1" hidden="1" outlineLevel="1" x14ac:dyDescent="0.25">
      <c r="A68" s="51"/>
      <c r="B68" s="11" t="str">
        <f>CONCATENATE("          ", "4304", " - ", "SALES RETURN NON TAXABLE-DIGIT")</f>
        <v xml:space="preserve">          4304 - SALES RETURN NON TAXABLE-DIGIT</v>
      </c>
      <c r="C68" s="11"/>
      <c r="D68" s="2">
        <f>-5500.68</f>
        <v>-5500.68</v>
      </c>
      <c r="E68" s="2"/>
      <c r="F68" s="23"/>
      <c r="G68" s="2"/>
      <c r="H68" s="2"/>
      <c r="I68" s="2"/>
      <c r="J68" s="23"/>
      <c r="K68" s="2"/>
      <c r="L68" s="2">
        <f t="shared" si="0"/>
        <v>-5500.68</v>
      </c>
      <c r="M68" s="2"/>
      <c r="N68" s="23">
        <f t="shared" si="1"/>
        <v>0</v>
      </c>
      <c r="O68" s="11"/>
      <c r="P68" s="2">
        <f>-5952.73</f>
        <v>-5952.73</v>
      </c>
      <c r="Q68" s="2"/>
      <c r="R68" s="23"/>
      <c r="S68" s="2"/>
      <c r="T68" s="2"/>
      <c r="U68" s="2"/>
      <c r="V68" s="23"/>
      <c r="W68" s="2"/>
      <c r="X68" s="2">
        <f t="shared" si="2"/>
        <v>-5952.73</v>
      </c>
      <c r="Y68" s="2"/>
      <c r="Z68" s="23">
        <f t="shared" si="3"/>
        <v>0</v>
      </c>
    </row>
    <row r="69" spans="1:26" s="24" customFormat="1" hidden="1" outlineLevel="1" x14ac:dyDescent="0.25">
      <c r="A69" s="51"/>
      <c r="B69" s="11" t="str">
        <f>CONCATENATE("          ", "4340", " - ", "SALES RETURN NON TAXABLE-LOGO")</f>
        <v xml:space="preserve">          4340 - SALES RETURN NON TAXABLE-LOGO</v>
      </c>
      <c r="C69" s="11"/>
      <c r="D69" s="2">
        <f>-69.9</f>
        <v>-69.900000000000006</v>
      </c>
      <c r="E69" s="2"/>
      <c r="F69" s="23"/>
      <c r="G69" s="2"/>
      <c r="H69" s="2"/>
      <c r="I69" s="2"/>
      <c r="J69" s="23"/>
      <c r="K69" s="2"/>
      <c r="L69" s="2">
        <f t="shared" si="0"/>
        <v>-69.900000000000006</v>
      </c>
      <c r="M69" s="2"/>
      <c r="N69" s="23">
        <f t="shared" si="1"/>
        <v>0</v>
      </c>
      <c r="O69" s="11"/>
      <c r="P69" s="2">
        <f>-504.14</f>
        <v>-504.14</v>
      </c>
      <c r="Q69" s="2"/>
      <c r="R69" s="23"/>
      <c r="S69" s="2"/>
      <c r="T69" s="2"/>
      <c r="U69" s="2"/>
      <c r="V69" s="23"/>
      <c r="W69" s="2"/>
      <c r="X69" s="2">
        <f t="shared" si="2"/>
        <v>-504.14</v>
      </c>
      <c r="Y69" s="2"/>
      <c r="Z69" s="23">
        <f t="shared" si="3"/>
        <v>0</v>
      </c>
    </row>
    <row r="70" spans="1:26" s="24" customFormat="1" hidden="1" outlineLevel="1" x14ac:dyDescent="0.25">
      <c r="A70" s="51"/>
      <c r="B70" s="11" t="str">
        <f>CONCATENATE("          ", "4341", " - ", "SALES RETURN NON TAXABLE-LOGO")</f>
        <v xml:space="preserve">          4341 - SALES RETURN NON TAXABLE-LOGO</v>
      </c>
      <c r="C70" s="11"/>
      <c r="D70" s="2">
        <f>0</f>
        <v>0</v>
      </c>
      <c r="E70" s="2"/>
      <c r="F70" s="23"/>
      <c r="G70" s="2"/>
      <c r="H70" s="2"/>
      <c r="I70" s="2"/>
      <c r="J70" s="23"/>
      <c r="K70" s="2"/>
      <c r="L70" s="2">
        <f t="shared" si="0"/>
        <v>0</v>
      </c>
      <c r="M70" s="2"/>
      <c r="N70" s="23">
        <f t="shared" si="1"/>
        <v>0</v>
      </c>
      <c r="O70" s="11"/>
      <c r="P70" s="2">
        <f>-16.95</f>
        <v>-16.95</v>
      </c>
      <c r="Q70" s="2"/>
      <c r="R70" s="23"/>
      <c r="S70" s="2"/>
      <c r="T70" s="2"/>
      <c r="U70" s="2"/>
      <c r="V70" s="23"/>
      <c r="W70" s="2"/>
      <c r="X70" s="2">
        <f t="shared" si="2"/>
        <v>-16.95</v>
      </c>
      <c r="Y70" s="2"/>
      <c r="Z70" s="23">
        <f t="shared" si="3"/>
        <v>0</v>
      </c>
    </row>
    <row r="71" spans="1:26" s="24" customFormat="1" hidden="1" outlineLevel="1" x14ac:dyDescent="0.25">
      <c r="A71" s="51"/>
      <c r="B71" s="11" t="str">
        <f>CONCATENATE("          ", "4342", " - ", "SALES RETURN NON TAXABLE-EVERY")</f>
        <v xml:space="preserve">          4342 - SALES RETURN NON TAXABLE-EVERY</v>
      </c>
      <c r="C71" s="11"/>
      <c r="D71" s="2">
        <f>-13.9</f>
        <v>-13.9</v>
      </c>
      <c r="E71" s="2"/>
      <c r="F71" s="23"/>
      <c r="G71" s="2"/>
      <c r="H71" s="2"/>
      <c r="I71" s="2"/>
      <c r="J71" s="23"/>
      <c r="K71" s="2"/>
      <c r="L71" s="2">
        <f t="shared" si="0"/>
        <v>-13.9</v>
      </c>
      <c r="M71" s="2"/>
      <c r="N71" s="23">
        <f t="shared" si="1"/>
        <v>0</v>
      </c>
      <c r="O71" s="11"/>
      <c r="P71" s="2">
        <f>-93.75</f>
        <v>-93.75</v>
      </c>
      <c r="Q71" s="2"/>
      <c r="R71" s="23"/>
      <c r="S71" s="2"/>
      <c r="T71" s="2"/>
      <c r="U71" s="2"/>
      <c r="V71" s="23"/>
      <c r="W71" s="2"/>
      <c r="X71" s="2">
        <f t="shared" si="2"/>
        <v>-93.75</v>
      </c>
      <c r="Y71" s="2"/>
      <c r="Z71" s="23">
        <f t="shared" si="3"/>
        <v>0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2" customFormat="1" collapsed="1" x14ac:dyDescent="0.25">
      <c r="A73" s="10"/>
      <c r="B73" s="25" t="s">
        <v>8</v>
      </c>
      <c r="C73" s="10"/>
      <c r="D73" s="4">
        <f>SUM(OSRRefD16x_0)</f>
        <v>1079380.29</v>
      </c>
      <c r="E73" s="4"/>
      <c r="F73" s="12">
        <f t="shared" ref="F73:F97" si="5">IF(D$12=0,0,D73/D$12)</f>
        <v>0.67549373194641338</v>
      </c>
      <c r="G73" s="4"/>
      <c r="H73" s="4">
        <f>SUM(OSRRefH16x_0)</f>
        <v>1297863</v>
      </c>
      <c r="I73" s="4"/>
      <c r="J73" s="12">
        <f t="shared" ref="J73:J97" si="6">IF(H$12=0,0,H73/H$12)</f>
        <v>0.64947121057598878</v>
      </c>
      <c r="K73" s="4"/>
      <c r="L73" s="4">
        <f t="shared" ref="L73:L97" si="7">+D73-H73</f>
        <v>-218482.70999999996</v>
      </c>
      <c r="M73" s="4"/>
      <c r="N73" s="12">
        <f t="shared" ref="N73:N97" si="8">IF(H73=0,0,L73/H73)</f>
        <v>-0.16834034871168987</v>
      </c>
      <c r="O73" s="10"/>
      <c r="P73" s="4">
        <f>SUM(OSRRefP16x_0)</f>
        <v>1220548.6900000002</v>
      </c>
      <c r="Q73" s="4"/>
      <c r="R73" s="12">
        <f t="shared" ref="R73:R97" si="9">IF(P$12=0,0,P73/P$12)</f>
        <v>0.66858119025776541</v>
      </c>
      <c r="S73" s="4"/>
      <c r="T73" s="4">
        <f>SUM(OSRRefT16x_0)</f>
        <v>1452984</v>
      </c>
      <c r="U73" s="4"/>
      <c r="V73" s="12">
        <f t="shared" ref="V73:V97" si="10">IF(T$12=0,0,T73/T$12)</f>
        <v>0.63162809258822128</v>
      </c>
      <c r="W73" s="4"/>
      <c r="X73" s="4">
        <f t="shared" ref="X73:X97" si="11">+P73-T73</f>
        <v>-232435.30999999982</v>
      </c>
      <c r="Y73" s="4"/>
      <c r="Z73" s="12">
        <f t="shared" ref="Z73:Z97" si="12">IF(T73=0,0,X73/T73)</f>
        <v>-0.15997100449832882</v>
      </c>
    </row>
    <row r="74" spans="1:26" s="24" customFormat="1" hidden="1" outlineLevel="1" x14ac:dyDescent="0.25">
      <c r="A74" s="51"/>
      <c r="B74" s="11" t="str">
        <f>CONCATENATE("          ", "5000", " - ", "PURCHASES @ COST")</f>
        <v xml:space="preserve">          5000 - PURCHASES @ COST</v>
      </c>
      <c r="C74" s="11"/>
      <c r="D74" s="2"/>
      <c r="E74" s="2"/>
      <c r="F74" s="23">
        <f t="shared" si="5"/>
        <v>0</v>
      </c>
      <c r="G74" s="2"/>
      <c r="H74" s="2">
        <v>1297863</v>
      </c>
      <c r="I74" s="2"/>
      <c r="J74" s="23">
        <f t="shared" si="6"/>
        <v>0.64947121057598878</v>
      </c>
      <c r="K74" s="2"/>
      <c r="L74" s="2">
        <f t="shared" si="7"/>
        <v>-1297863</v>
      </c>
      <c r="M74" s="2"/>
      <c r="N74" s="23">
        <f t="shared" si="8"/>
        <v>-1</v>
      </c>
      <c r="O74" s="11"/>
      <c r="P74" s="2"/>
      <c r="Q74" s="2"/>
      <c r="R74" s="23">
        <f t="shared" si="9"/>
        <v>0</v>
      </c>
      <c r="S74" s="2"/>
      <c r="T74" s="2">
        <v>1452984</v>
      </c>
      <c r="U74" s="2"/>
      <c r="V74" s="23">
        <f t="shared" si="10"/>
        <v>0.63162809258822128</v>
      </c>
      <c r="W74" s="2"/>
      <c r="X74" s="2">
        <f t="shared" si="11"/>
        <v>-1452984</v>
      </c>
      <c r="Y74" s="2"/>
      <c r="Z74" s="23">
        <f t="shared" si="12"/>
        <v>-1</v>
      </c>
    </row>
    <row r="75" spans="1:26" s="24" customFormat="1" hidden="1" outlineLevel="1" x14ac:dyDescent="0.25">
      <c r="A75" s="51"/>
      <c r="B75" s="11" t="str">
        <f>CONCATENATE("          ", "5001", " - ", "PURCHASES @ COST-NEW TEXT")</f>
        <v xml:space="preserve">          5001 - PURCHASES @ COST-NEW TEXT</v>
      </c>
      <c r="C75" s="11"/>
      <c r="D75" s="2">
        <v>538222.14</v>
      </c>
      <c r="E75" s="2"/>
      <c r="F75" s="23">
        <f t="shared" si="5"/>
        <v>0.33682816458023795</v>
      </c>
      <c r="G75" s="2"/>
      <c r="H75" s="2"/>
      <c r="I75" s="2"/>
      <c r="J75" s="23">
        <f t="shared" si="6"/>
        <v>0</v>
      </c>
      <c r="K75" s="2"/>
      <c r="L75" s="2">
        <f t="shared" si="7"/>
        <v>538222.14</v>
      </c>
      <c r="M75" s="2"/>
      <c r="N75" s="23">
        <f t="shared" si="8"/>
        <v>0</v>
      </c>
      <c r="O75" s="11"/>
      <c r="P75" s="2">
        <v>691332.77</v>
      </c>
      <c r="Q75" s="2"/>
      <c r="R75" s="23">
        <f t="shared" si="9"/>
        <v>0.37869205056522404</v>
      </c>
      <c r="S75" s="2"/>
      <c r="T75" s="2"/>
      <c r="U75" s="2"/>
      <c r="V75" s="23">
        <f t="shared" si="10"/>
        <v>0</v>
      </c>
      <c r="W75" s="2"/>
      <c r="X75" s="2">
        <f t="shared" si="11"/>
        <v>691332.77</v>
      </c>
      <c r="Y75" s="2"/>
      <c r="Z75" s="23">
        <f t="shared" si="12"/>
        <v>0</v>
      </c>
    </row>
    <row r="76" spans="1:26" s="24" customFormat="1" hidden="1" outlineLevel="1" x14ac:dyDescent="0.25">
      <c r="A76" s="51"/>
      <c r="B76" s="11" t="str">
        <f>CONCATENATE("          ", "5002", " - ", "PURCHASES @ COST-USED TEXT")</f>
        <v xml:space="preserve">          5002 - PURCHASES @ COST-USED TEXT</v>
      </c>
      <c r="C76" s="11"/>
      <c r="D76" s="2">
        <v>128042.67</v>
      </c>
      <c r="E76" s="2"/>
      <c r="F76" s="23">
        <f t="shared" si="5"/>
        <v>8.0131184354573559E-2</v>
      </c>
      <c r="G76" s="2"/>
      <c r="H76" s="2"/>
      <c r="I76" s="2"/>
      <c r="J76" s="23">
        <f t="shared" si="6"/>
        <v>0</v>
      </c>
      <c r="K76" s="2"/>
      <c r="L76" s="2">
        <f t="shared" si="7"/>
        <v>128042.67</v>
      </c>
      <c r="M76" s="2"/>
      <c r="N76" s="23">
        <f t="shared" si="8"/>
        <v>0</v>
      </c>
      <c r="O76" s="11"/>
      <c r="P76" s="2">
        <v>188367.52</v>
      </c>
      <c r="Q76" s="2"/>
      <c r="R76" s="23">
        <f t="shared" si="9"/>
        <v>0.10318226692579008</v>
      </c>
      <c r="S76" s="2"/>
      <c r="T76" s="2"/>
      <c r="U76" s="2"/>
      <c r="V76" s="23">
        <f t="shared" si="10"/>
        <v>0</v>
      </c>
      <c r="W76" s="2"/>
      <c r="X76" s="2">
        <f t="shared" si="11"/>
        <v>188367.52</v>
      </c>
      <c r="Y76" s="2"/>
      <c r="Z76" s="23">
        <f t="shared" si="12"/>
        <v>0</v>
      </c>
    </row>
    <row r="77" spans="1:26" s="24" customFormat="1" hidden="1" outlineLevel="1" x14ac:dyDescent="0.25">
      <c r="A77" s="51"/>
      <c r="B77" s="11" t="str">
        <f>CONCATENATE("          ", "5003", " - ", "PURCHASES @ COST-RENTAL TEXT")</f>
        <v xml:space="preserve">          5003 - PURCHASES @ COST-RENTAL TEXT</v>
      </c>
      <c r="C77" s="11"/>
      <c r="D77" s="2">
        <v>58.8</v>
      </c>
      <c r="E77" s="2"/>
      <c r="F77" s="23">
        <f t="shared" si="5"/>
        <v>3.6797995855982422E-5</v>
      </c>
      <c r="G77" s="2"/>
      <c r="H77" s="2"/>
      <c r="I77" s="2"/>
      <c r="J77" s="23">
        <f t="shared" si="6"/>
        <v>0</v>
      </c>
      <c r="K77" s="2"/>
      <c r="L77" s="2">
        <f t="shared" si="7"/>
        <v>58.8</v>
      </c>
      <c r="M77" s="2"/>
      <c r="N77" s="23">
        <f t="shared" si="8"/>
        <v>0</v>
      </c>
      <c r="O77" s="11"/>
      <c r="P77" s="2">
        <v>-11867.84</v>
      </c>
      <c r="Q77" s="2"/>
      <c r="R77" s="23">
        <f t="shared" si="9"/>
        <v>-6.500858718703568E-3</v>
      </c>
      <c r="S77" s="2"/>
      <c r="T77" s="2"/>
      <c r="U77" s="2"/>
      <c r="V77" s="23">
        <f t="shared" si="10"/>
        <v>0</v>
      </c>
      <c r="W77" s="2"/>
      <c r="X77" s="2">
        <f t="shared" si="11"/>
        <v>-11867.84</v>
      </c>
      <c r="Y77" s="2"/>
      <c r="Z77" s="23">
        <f t="shared" si="12"/>
        <v>0</v>
      </c>
    </row>
    <row r="78" spans="1:26" s="24" customFormat="1" hidden="1" outlineLevel="1" x14ac:dyDescent="0.25">
      <c r="A78" s="51"/>
      <c r="B78" s="11" t="str">
        <f>CONCATENATE("          ", "5004", " - ", "PURCHASES @ COST-DIGITAL TEXT")</f>
        <v xml:space="preserve">          5004 - PURCHASES @ COST-DIGITAL TEXT</v>
      </c>
      <c r="C78" s="11"/>
      <c r="D78" s="2">
        <v>117504.49</v>
      </c>
      <c r="E78" s="2"/>
      <c r="F78" s="23">
        <f t="shared" si="5"/>
        <v>7.3536220001349129E-2</v>
      </c>
      <c r="G78" s="2"/>
      <c r="H78" s="2"/>
      <c r="I78" s="2"/>
      <c r="J78" s="23">
        <f t="shared" si="6"/>
        <v>0</v>
      </c>
      <c r="K78" s="2"/>
      <c r="L78" s="2">
        <f t="shared" si="7"/>
        <v>117504.49</v>
      </c>
      <c r="M78" s="2"/>
      <c r="N78" s="23">
        <f t="shared" si="8"/>
        <v>0</v>
      </c>
      <c r="O78" s="11"/>
      <c r="P78" s="2">
        <v>122429.97</v>
      </c>
      <c r="Q78" s="2"/>
      <c r="R78" s="23">
        <f t="shared" si="9"/>
        <v>6.706358847988482E-2</v>
      </c>
      <c r="S78" s="2"/>
      <c r="T78" s="2"/>
      <c r="U78" s="2"/>
      <c r="V78" s="23">
        <f t="shared" si="10"/>
        <v>0</v>
      </c>
      <c r="W78" s="2"/>
      <c r="X78" s="2">
        <f t="shared" si="11"/>
        <v>122429.97</v>
      </c>
      <c r="Y78" s="2"/>
      <c r="Z78" s="23">
        <f t="shared" si="12"/>
        <v>0</v>
      </c>
    </row>
    <row r="79" spans="1:26" s="24" customFormat="1" hidden="1" outlineLevel="1" x14ac:dyDescent="0.25">
      <c r="A79" s="51"/>
      <c r="B79" s="11" t="str">
        <f>CONCATENATE("          ", "5013", " - ", "PURCHASES @ COST-TRADE BOOKS")</f>
        <v xml:space="preserve">          5013 - PURCHASES @ COST-TRADE BOOKS</v>
      </c>
      <c r="C79" s="11"/>
      <c r="D79" s="2"/>
      <c r="E79" s="2"/>
      <c r="F79" s="23">
        <f t="shared" si="5"/>
        <v>0</v>
      </c>
      <c r="G79" s="2"/>
      <c r="H79" s="2"/>
      <c r="I79" s="2"/>
      <c r="J79" s="23">
        <f t="shared" si="6"/>
        <v>0</v>
      </c>
      <c r="K79" s="2"/>
      <c r="L79" s="2">
        <f t="shared" si="7"/>
        <v>0</v>
      </c>
      <c r="M79" s="2"/>
      <c r="N79" s="23">
        <f t="shared" si="8"/>
        <v>0</v>
      </c>
      <c r="O79" s="11"/>
      <c r="P79" s="2">
        <v>108.54</v>
      </c>
      <c r="Q79" s="2"/>
      <c r="R79" s="23">
        <f t="shared" si="9"/>
        <v>5.9455065566108518E-5</v>
      </c>
      <c r="S79" s="2"/>
      <c r="T79" s="2"/>
      <c r="U79" s="2"/>
      <c r="V79" s="23">
        <f t="shared" si="10"/>
        <v>0</v>
      </c>
      <c r="W79" s="2"/>
      <c r="X79" s="2">
        <f t="shared" si="11"/>
        <v>108.54</v>
      </c>
      <c r="Y79" s="2"/>
      <c r="Z79" s="23">
        <f t="shared" si="12"/>
        <v>0</v>
      </c>
    </row>
    <row r="80" spans="1:26" s="24" customFormat="1" hidden="1" outlineLevel="1" x14ac:dyDescent="0.25">
      <c r="A80" s="51"/>
      <c r="B80" s="11" t="str">
        <f>CONCATENATE("          ", "5014", " - ", "PURCHASES @ COST-REMAINDERS")</f>
        <v xml:space="preserve">          5014 - PURCHASES @ COST-REMAINDERS</v>
      </c>
      <c r="C80" s="11"/>
      <c r="D80" s="2"/>
      <c r="E80" s="2"/>
      <c r="F80" s="23">
        <f t="shared" si="5"/>
        <v>0</v>
      </c>
      <c r="G80" s="2"/>
      <c r="H80" s="2"/>
      <c r="I80" s="2"/>
      <c r="J80" s="23">
        <f t="shared" si="6"/>
        <v>0</v>
      </c>
      <c r="K80" s="2"/>
      <c r="L80" s="2">
        <f t="shared" si="7"/>
        <v>0</v>
      </c>
      <c r="M80" s="2"/>
      <c r="N80" s="23">
        <f t="shared" si="8"/>
        <v>0</v>
      </c>
      <c r="O80" s="11"/>
      <c r="P80" s="2">
        <v>-12.51</v>
      </c>
      <c r="Q80" s="2"/>
      <c r="R80" s="23">
        <f t="shared" si="9"/>
        <v>-6.8526153513176472E-6</v>
      </c>
      <c r="S80" s="2"/>
      <c r="T80" s="2"/>
      <c r="U80" s="2"/>
      <c r="V80" s="23">
        <f t="shared" si="10"/>
        <v>0</v>
      </c>
      <c r="W80" s="2"/>
      <c r="X80" s="2">
        <f t="shared" si="11"/>
        <v>-12.51</v>
      </c>
      <c r="Y80" s="2"/>
      <c r="Z80" s="23">
        <f t="shared" si="12"/>
        <v>0</v>
      </c>
    </row>
    <row r="81" spans="1:26" s="24" customFormat="1" hidden="1" outlineLevel="1" x14ac:dyDescent="0.25">
      <c r="A81" s="51"/>
      <c r="B81" s="11" t="str">
        <f>CONCATENATE("          ", "5027", " - ", "PURCHASES @ COST-SCHOOL SUPPLI")</f>
        <v xml:space="preserve">          5027 - PURCHASES @ COST-SCHOOL SUPPLI</v>
      </c>
      <c r="C81" s="11"/>
      <c r="D81" s="2"/>
      <c r="E81" s="2"/>
      <c r="F81" s="23">
        <f t="shared" si="5"/>
        <v>0</v>
      </c>
      <c r="G81" s="2"/>
      <c r="H81" s="2"/>
      <c r="I81" s="2"/>
      <c r="J81" s="23">
        <f t="shared" si="6"/>
        <v>0</v>
      </c>
      <c r="K81" s="2"/>
      <c r="L81" s="2">
        <f t="shared" si="7"/>
        <v>0</v>
      </c>
      <c r="M81" s="2"/>
      <c r="N81" s="23">
        <f t="shared" si="8"/>
        <v>0</v>
      </c>
      <c r="O81" s="11"/>
      <c r="P81" s="2">
        <v>8503.4</v>
      </c>
      <c r="Q81" s="2"/>
      <c r="R81" s="23">
        <f t="shared" si="9"/>
        <v>4.6579160174575925E-3</v>
      </c>
      <c r="S81" s="2"/>
      <c r="T81" s="2"/>
      <c r="U81" s="2"/>
      <c r="V81" s="23">
        <f t="shared" si="10"/>
        <v>0</v>
      </c>
      <c r="W81" s="2"/>
      <c r="X81" s="2">
        <f t="shared" si="11"/>
        <v>8503.4</v>
      </c>
      <c r="Y81" s="2"/>
      <c r="Z81" s="23">
        <f t="shared" si="12"/>
        <v>0</v>
      </c>
    </row>
    <row r="82" spans="1:26" s="24" customFormat="1" hidden="1" outlineLevel="1" x14ac:dyDescent="0.25">
      <c r="A82" s="51"/>
      <c r="B82" s="11" t="str">
        <f>CONCATENATE("          ", "5040", " - ", "PURCHASES @ COST-LOGO CLOTHING")</f>
        <v xml:space="preserve">          5040 - PURCHASES @ COST-LOGO CLOTHING</v>
      </c>
      <c r="C82" s="11"/>
      <c r="D82" s="2">
        <v>7628.83</v>
      </c>
      <c r="E82" s="2"/>
      <c r="F82" s="23">
        <f t="shared" si="5"/>
        <v>4.7742458286733737E-3</v>
      </c>
      <c r="G82" s="2"/>
      <c r="H82" s="2"/>
      <c r="I82" s="2"/>
      <c r="J82" s="23">
        <f t="shared" si="6"/>
        <v>0</v>
      </c>
      <c r="K82" s="2"/>
      <c r="L82" s="2">
        <f t="shared" si="7"/>
        <v>7628.83</v>
      </c>
      <c r="M82" s="2"/>
      <c r="N82" s="23">
        <f t="shared" si="8"/>
        <v>0</v>
      </c>
      <c r="O82" s="11"/>
      <c r="P82" s="2">
        <v>9351.9</v>
      </c>
      <c r="Q82" s="2"/>
      <c r="R82" s="23">
        <f t="shared" si="9"/>
        <v>5.1226997205425662E-3</v>
      </c>
      <c r="S82" s="2"/>
      <c r="T82" s="2"/>
      <c r="U82" s="2"/>
      <c r="V82" s="23">
        <f t="shared" si="10"/>
        <v>0</v>
      </c>
      <c r="W82" s="2"/>
      <c r="X82" s="2">
        <f t="shared" si="11"/>
        <v>9351.9</v>
      </c>
      <c r="Y82" s="2"/>
      <c r="Z82" s="23">
        <f t="shared" si="12"/>
        <v>0</v>
      </c>
    </row>
    <row r="83" spans="1:26" s="24" customFormat="1" hidden="1" outlineLevel="1" x14ac:dyDescent="0.25">
      <c r="A83" s="51"/>
      <c r="B83" s="11" t="str">
        <f>CONCATENATE("          ", "5041", " - ", "PURCHASES @ COST-LOGO GIFTS")</f>
        <v xml:space="preserve">          5041 - PURCHASES @ COST-LOGO GIFTS</v>
      </c>
      <c r="C83" s="11"/>
      <c r="D83" s="2">
        <v>1843.29</v>
      </c>
      <c r="E83" s="2"/>
      <c r="F83" s="23">
        <f t="shared" si="5"/>
        <v>1.1535608466220041E-3</v>
      </c>
      <c r="G83" s="2"/>
      <c r="H83" s="2"/>
      <c r="I83" s="2"/>
      <c r="J83" s="23">
        <f t="shared" si="6"/>
        <v>0</v>
      </c>
      <c r="K83" s="2"/>
      <c r="L83" s="2">
        <f t="shared" si="7"/>
        <v>1843.29</v>
      </c>
      <c r="M83" s="2"/>
      <c r="N83" s="23">
        <f t="shared" si="8"/>
        <v>0</v>
      </c>
      <c r="O83" s="11"/>
      <c r="P83" s="2">
        <v>1129.54</v>
      </c>
      <c r="Q83" s="2"/>
      <c r="R83" s="23">
        <f t="shared" si="9"/>
        <v>6.1872926809970709E-4</v>
      </c>
      <c r="S83" s="2"/>
      <c r="T83" s="2"/>
      <c r="U83" s="2"/>
      <c r="V83" s="23">
        <f t="shared" si="10"/>
        <v>0</v>
      </c>
      <c r="W83" s="2"/>
      <c r="X83" s="2">
        <f t="shared" si="11"/>
        <v>1129.54</v>
      </c>
      <c r="Y83" s="2"/>
      <c r="Z83" s="23">
        <f t="shared" si="12"/>
        <v>0</v>
      </c>
    </row>
    <row r="84" spans="1:26" s="24" customFormat="1" hidden="1" outlineLevel="1" x14ac:dyDescent="0.25">
      <c r="A84" s="51"/>
      <c r="B84" s="11" t="str">
        <f>CONCATENATE("          ", "5042", " - ", "PURCHASES @ COST-EVERYDAY GIFT")</f>
        <v xml:space="preserve">          5042 - PURCHASES @ COST-EVERYDAY GIFT</v>
      </c>
      <c r="C84" s="11"/>
      <c r="D84" s="2">
        <v>732.99</v>
      </c>
      <c r="E84" s="2"/>
      <c r="F84" s="23">
        <f t="shared" si="5"/>
        <v>4.587170575251115E-4</v>
      </c>
      <c r="G84" s="2"/>
      <c r="H84" s="2"/>
      <c r="I84" s="2"/>
      <c r="J84" s="23">
        <f t="shared" si="6"/>
        <v>0</v>
      </c>
      <c r="K84" s="2"/>
      <c r="L84" s="2">
        <f t="shared" si="7"/>
        <v>732.99</v>
      </c>
      <c r="M84" s="2"/>
      <c r="N84" s="23">
        <f t="shared" si="8"/>
        <v>0</v>
      </c>
      <c r="O84" s="11"/>
      <c r="P84" s="2">
        <v>969.15</v>
      </c>
      <c r="Q84" s="2"/>
      <c r="R84" s="23">
        <f t="shared" si="9"/>
        <v>5.3087227559788159E-4</v>
      </c>
      <c r="S84" s="2"/>
      <c r="T84" s="2"/>
      <c r="U84" s="2"/>
      <c r="V84" s="23">
        <f t="shared" si="10"/>
        <v>0</v>
      </c>
      <c r="W84" s="2"/>
      <c r="X84" s="2">
        <f t="shared" si="11"/>
        <v>969.15</v>
      </c>
      <c r="Y84" s="2"/>
      <c r="Z84" s="23">
        <f t="shared" si="12"/>
        <v>0</v>
      </c>
    </row>
    <row r="85" spans="1:26" s="24" customFormat="1" hidden="1" outlineLevel="1" x14ac:dyDescent="0.25">
      <c r="A85" s="51"/>
      <c r="B85" s="11" t="str">
        <f>CONCATENATE("          ", "5043", " - ", "PURCHASES @ COST-CARDS")</f>
        <v xml:space="preserve">          5043 - PURCHASES @ COST-CARDS</v>
      </c>
      <c r="C85" s="11"/>
      <c r="D85" s="2">
        <v>1406.55</v>
      </c>
      <c r="E85" s="2"/>
      <c r="F85" s="23">
        <f t="shared" si="5"/>
        <v>8.8024185495292652E-4</v>
      </c>
      <c r="G85" s="2"/>
      <c r="H85" s="2"/>
      <c r="I85" s="2"/>
      <c r="J85" s="23">
        <f t="shared" si="6"/>
        <v>0</v>
      </c>
      <c r="K85" s="2"/>
      <c r="L85" s="2">
        <f t="shared" si="7"/>
        <v>1406.55</v>
      </c>
      <c r="M85" s="2"/>
      <c r="N85" s="23">
        <f t="shared" si="8"/>
        <v>0</v>
      </c>
      <c r="O85" s="11"/>
      <c r="P85" s="2">
        <v>1715.25</v>
      </c>
      <c r="Q85" s="2"/>
      <c r="R85" s="23">
        <f t="shared" si="9"/>
        <v>9.3956422712610671E-4</v>
      </c>
      <c r="S85" s="2"/>
      <c r="T85" s="2"/>
      <c r="U85" s="2"/>
      <c r="V85" s="23">
        <f t="shared" si="10"/>
        <v>0</v>
      </c>
      <c r="W85" s="2"/>
      <c r="X85" s="2">
        <f t="shared" si="11"/>
        <v>1715.25</v>
      </c>
      <c r="Y85" s="2"/>
      <c r="Z85" s="23">
        <f t="shared" si="12"/>
        <v>0</v>
      </c>
    </row>
    <row r="86" spans="1:26" s="24" customFormat="1" hidden="1" outlineLevel="1" x14ac:dyDescent="0.25">
      <c r="A86" s="51"/>
      <c r="B86" s="11" t="str">
        <f>CONCATENATE("          ", "5045", " - ", "PURCHASES @ COST-SPECIAL ORDER")</f>
        <v xml:space="preserve">          5045 - PURCHASES @ COST-SPECIAL ORDER</v>
      </c>
      <c r="C86" s="11"/>
      <c r="D86" s="2">
        <v>5633.96</v>
      </c>
      <c r="E86" s="2"/>
      <c r="F86" s="23">
        <f t="shared" si="5"/>
        <v>3.5258237539586863E-3</v>
      </c>
      <c r="G86" s="2"/>
      <c r="H86" s="2"/>
      <c r="I86" s="2"/>
      <c r="J86" s="23">
        <f t="shared" si="6"/>
        <v>0</v>
      </c>
      <c r="K86" s="2"/>
      <c r="L86" s="2">
        <f t="shared" si="7"/>
        <v>5633.96</v>
      </c>
      <c r="M86" s="2"/>
      <c r="N86" s="23">
        <f t="shared" si="8"/>
        <v>0</v>
      </c>
      <c r="O86" s="11"/>
      <c r="P86" s="2">
        <v>8390.17</v>
      </c>
      <c r="Q86" s="2"/>
      <c r="R86" s="23">
        <f t="shared" si="9"/>
        <v>4.5958919058485042E-3</v>
      </c>
      <c r="S86" s="2"/>
      <c r="T86" s="2"/>
      <c r="U86" s="2"/>
      <c r="V86" s="23">
        <f t="shared" si="10"/>
        <v>0</v>
      </c>
      <c r="W86" s="2"/>
      <c r="X86" s="2">
        <f t="shared" si="11"/>
        <v>8390.17</v>
      </c>
      <c r="Y86" s="2"/>
      <c r="Z86" s="23">
        <f t="shared" si="12"/>
        <v>0</v>
      </c>
    </row>
    <row r="87" spans="1:26" s="24" customFormat="1" hidden="1" outlineLevel="1" x14ac:dyDescent="0.25">
      <c r="A87" s="51"/>
      <c r="B87" s="11" t="str">
        <f>CONCATENATE("          ", "5053", " - ", "PURCHASES @ COST-FOOD")</f>
        <v xml:space="preserve">          5053 - PURCHASES @ COST-FOOD</v>
      </c>
      <c r="C87" s="11"/>
      <c r="D87" s="2">
        <v>-2111.6799999999998</v>
      </c>
      <c r="E87" s="2"/>
      <c r="F87" s="23">
        <f t="shared" si="5"/>
        <v>-1.3215236715843702E-3</v>
      </c>
      <c r="G87" s="2"/>
      <c r="H87" s="2"/>
      <c r="I87" s="2"/>
      <c r="J87" s="23">
        <f t="shared" si="6"/>
        <v>0</v>
      </c>
      <c r="K87" s="2"/>
      <c r="L87" s="2">
        <f t="shared" si="7"/>
        <v>-2111.6799999999998</v>
      </c>
      <c r="M87" s="2"/>
      <c r="N87" s="23">
        <f t="shared" si="8"/>
        <v>0</v>
      </c>
      <c r="O87" s="11"/>
      <c r="P87" s="2">
        <v>-2338.5500000000002</v>
      </c>
      <c r="Q87" s="2"/>
      <c r="R87" s="23">
        <f t="shared" si="9"/>
        <v>-1.2809898984671372E-3</v>
      </c>
      <c r="S87" s="2"/>
      <c r="T87" s="2"/>
      <c r="U87" s="2"/>
      <c r="V87" s="23">
        <f t="shared" si="10"/>
        <v>0</v>
      </c>
      <c r="W87" s="2"/>
      <c r="X87" s="2">
        <f t="shared" si="11"/>
        <v>-2338.5500000000002</v>
      </c>
      <c r="Y87" s="2"/>
      <c r="Z87" s="23">
        <f t="shared" si="12"/>
        <v>0</v>
      </c>
    </row>
    <row r="88" spans="1:26" s="24" customFormat="1" hidden="1" outlineLevel="1" x14ac:dyDescent="0.25">
      <c r="A88" s="51"/>
      <c r="B88" s="11" t="str">
        <f>CONCATENATE("          ", "5059", " - ", "PURCHASES @ COST-FOOD")</f>
        <v xml:space="preserve">          5059 - PURCHASES @ COST-FOOD</v>
      </c>
      <c r="C88" s="11"/>
      <c r="D88" s="2">
        <v>68.91</v>
      </c>
      <c r="E88" s="2"/>
      <c r="F88" s="23">
        <f t="shared" si="5"/>
        <v>4.3124998204689604E-5</v>
      </c>
      <c r="G88" s="2"/>
      <c r="H88" s="2"/>
      <c r="I88" s="2"/>
      <c r="J88" s="23">
        <f t="shared" si="6"/>
        <v>0</v>
      </c>
      <c r="K88" s="2"/>
      <c r="L88" s="2">
        <f t="shared" si="7"/>
        <v>68.91</v>
      </c>
      <c r="M88" s="2"/>
      <c r="N88" s="23">
        <f t="shared" si="8"/>
        <v>0</v>
      </c>
      <c r="O88" s="11"/>
      <c r="P88" s="2">
        <v>68.91</v>
      </c>
      <c r="Q88" s="2"/>
      <c r="R88" s="23">
        <f t="shared" si="9"/>
        <v>3.7746900388433178E-5</v>
      </c>
      <c r="S88" s="2"/>
      <c r="T88" s="2"/>
      <c r="U88" s="2"/>
      <c r="V88" s="23">
        <f t="shared" si="10"/>
        <v>0</v>
      </c>
      <c r="W88" s="2"/>
      <c r="X88" s="2">
        <f t="shared" si="11"/>
        <v>68.91</v>
      </c>
      <c r="Y88" s="2"/>
      <c r="Z88" s="23">
        <f t="shared" si="12"/>
        <v>0</v>
      </c>
    </row>
    <row r="89" spans="1:26" s="24" customFormat="1" hidden="1" outlineLevel="1" x14ac:dyDescent="0.25">
      <c r="A89" s="51"/>
      <c r="B89" s="11" t="str">
        <f>CONCATENATE("          ", "5200", " - ", "PURCHASES OFFSET")</f>
        <v xml:space="preserve">          5200 - PURCHASES OFFSET</v>
      </c>
      <c r="C89" s="11"/>
      <c r="D89" s="2">
        <v>-497237.30000000005</v>
      </c>
      <c r="E89" s="2"/>
      <c r="F89" s="23">
        <f t="shared" si="5"/>
        <v>-0.31117918545646073</v>
      </c>
      <c r="G89" s="2"/>
      <c r="H89" s="2"/>
      <c r="I89" s="2"/>
      <c r="J89" s="23">
        <f t="shared" si="6"/>
        <v>0</v>
      </c>
      <c r="K89" s="2"/>
      <c r="L89" s="2">
        <f t="shared" si="7"/>
        <v>-497237.30000000005</v>
      </c>
      <c r="M89" s="2"/>
      <c r="N89" s="23">
        <f t="shared" si="8"/>
        <v>0</v>
      </c>
      <c r="O89" s="11"/>
      <c r="P89" s="2">
        <v>-713002.58000000007</v>
      </c>
      <c r="Q89" s="2"/>
      <c r="R89" s="23">
        <f t="shared" si="9"/>
        <v>-0.39056214430352437</v>
      </c>
      <c r="S89" s="2"/>
      <c r="T89" s="2"/>
      <c r="U89" s="2"/>
      <c r="V89" s="23">
        <f t="shared" si="10"/>
        <v>0</v>
      </c>
      <c r="W89" s="2"/>
      <c r="X89" s="2">
        <f t="shared" si="11"/>
        <v>-713002.58000000007</v>
      </c>
      <c r="Y89" s="2"/>
      <c r="Z89" s="23">
        <f t="shared" si="12"/>
        <v>0</v>
      </c>
    </row>
    <row r="90" spans="1:26" s="24" customFormat="1" hidden="1" outlineLevel="1" x14ac:dyDescent="0.25">
      <c r="A90" s="51"/>
      <c r="B90" s="11" t="str">
        <f>CONCATENATE("          ", "5300", " - ", "COG$ OFFSET")</f>
        <v xml:space="preserve">          5300 - COG$ OFFSET</v>
      </c>
      <c r="C90" s="11"/>
      <c r="D90" s="2">
        <v>770429</v>
      </c>
      <c r="E90" s="2"/>
      <c r="F90" s="23">
        <f t="shared" si="5"/>
        <v>0.48214699233552183</v>
      </c>
      <c r="G90" s="2"/>
      <c r="H90" s="2"/>
      <c r="I90" s="2"/>
      <c r="J90" s="23">
        <f t="shared" si="6"/>
        <v>0</v>
      </c>
      <c r="K90" s="2"/>
      <c r="L90" s="2">
        <f t="shared" si="7"/>
        <v>770429</v>
      </c>
      <c r="M90" s="2"/>
      <c r="N90" s="23">
        <f t="shared" si="8"/>
        <v>0</v>
      </c>
      <c r="O90" s="11"/>
      <c r="P90" s="2">
        <v>906057</v>
      </c>
      <c r="Q90" s="2"/>
      <c r="R90" s="23">
        <f t="shared" si="9"/>
        <v>0.49631175918215936</v>
      </c>
      <c r="S90" s="2"/>
      <c r="T90" s="2"/>
      <c r="U90" s="2"/>
      <c r="V90" s="23">
        <f t="shared" si="10"/>
        <v>0</v>
      </c>
      <c r="W90" s="2"/>
      <c r="X90" s="2">
        <f t="shared" si="11"/>
        <v>906057</v>
      </c>
      <c r="Y90" s="2"/>
      <c r="Z90" s="23">
        <f t="shared" si="12"/>
        <v>0</v>
      </c>
    </row>
    <row r="91" spans="1:26" s="24" customFormat="1" hidden="1" outlineLevel="1" x14ac:dyDescent="0.25">
      <c r="A91" s="51"/>
      <c r="B91" s="11" t="str">
        <f>CONCATENATE("          ", "5501", " - ", "FREIGHT-IN-NEW TEXT")</f>
        <v xml:space="preserve">          5501 - FREIGHT-IN-NEW TEXT</v>
      </c>
      <c r="C91" s="11"/>
      <c r="D91" s="2">
        <v>4680.5600000000004</v>
      </c>
      <c r="E91" s="2"/>
      <c r="F91" s="23">
        <f t="shared" si="5"/>
        <v>2.9291705354366855E-3</v>
      </c>
      <c r="G91" s="2"/>
      <c r="H91" s="2"/>
      <c r="I91" s="2"/>
      <c r="J91" s="23">
        <f t="shared" si="6"/>
        <v>0</v>
      </c>
      <c r="K91" s="2"/>
      <c r="L91" s="2">
        <f t="shared" si="7"/>
        <v>4680.5600000000004</v>
      </c>
      <c r="M91" s="2"/>
      <c r="N91" s="23">
        <f t="shared" si="8"/>
        <v>0</v>
      </c>
      <c r="O91" s="11"/>
      <c r="P91" s="2">
        <v>5483.28</v>
      </c>
      <c r="Q91" s="2"/>
      <c r="R91" s="23">
        <f t="shared" si="9"/>
        <v>3.0035818308211852E-3</v>
      </c>
      <c r="S91" s="2"/>
      <c r="T91" s="2"/>
      <c r="U91" s="2"/>
      <c r="V91" s="23">
        <f t="shared" si="10"/>
        <v>0</v>
      </c>
      <c r="W91" s="2"/>
      <c r="X91" s="2">
        <f t="shared" si="11"/>
        <v>5483.28</v>
      </c>
      <c r="Y91" s="2"/>
      <c r="Z91" s="23">
        <f t="shared" si="12"/>
        <v>0</v>
      </c>
    </row>
    <row r="92" spans="1:26" s="24" customFormat="1" hidden="1" outlineLevel="1" x14ac:dyDescent="0.25">
      <c r="A92" s="51"/>
      <c r="B92" s="11" t="str">
        <f>CONCATENATE("          ", "5502", " - ", "FREIGHT-IN-USED TEXT")</f>
        <v xml:space="preserve">          5502 - FREIGHT-IN-USED TEXT</v>
      </c>
      <c r="C92" s="11"/>
      <c r="D92" s="2">
        <v>1186.6600000000001</v>
      </c>
      <c r="E92" s="2"/>
      <c r="F92" s="23">
        <f t="shared" si="5"/>
        <v>7.4263111840918545E-4</v>
      </c>
      <c r="G92" s="2"/>
      <c r="H92" s="2"/>
      <c r="I92" s="2"/>
      <c r="J92" s="23">
        <f t="shared" si="6"/>
        <v>0</v>
      </c>
      <c r="K92" s="2"/>
      <c r="L92" s="2">
        <f t="shared" si="7"/>
        <v>1186.6600000000001</v>
      </c>
      <c r="M92" s="2"/>
      <c r="N92" s="23">
        <f t="shared" si="8"/>
        <v>0</v>
      </c>
      <c r="O92" s="11"/>
      <c r="P92" s="2">
        <v>1234.55</v>
      </c>
      <c r="Q92" s="2"/>
      <c r="R92" s="23">
        <f t="shared" si="9"/>
        <v>6.7625070199593934E-4</v>
      </c>
      <c r="S92" s="2"/>
      <c r="T92" s="2"/>
      <c r="U92" s="2"/>
      <c r="V92" s="23">
        <f t="shared" si="10"/>
        <v>0</v>
      </c>
      <c r="W92" s="2"/>
      <c r="X92" s="2">
        <f t="shared" si="11"/>
        <v>1234.55</v>
      </c>
      <c r="Y92" s="2"/>
      <c r="Z92" s="23">
        <f t="shared" si="12"/>
        <v>0</v>
      </c>
    </row>
    <row r="93" spans="1:26" s="24" customFormat="1" hidden="1" outlineLevel="1" x14ac:dyDescent="0.25">
      <c r="A93" s="51"/>
      <c r="B93" s="11" t="str">
        <f>CONCATENATE("          ", "5528", " - ", "FREIGHT-IN-ART/TECH")</f>
        <v xml:space="preserve">          5528 - FREIGHT-IN-ART/TECH</v>
      </c>
      <c r="C93" s="11"/>
      <c r="D93" s="2"/>
      <c r="E93" s="2"/>
      <c r="F93" s="23">
        <f t="shared" si="5"/>
        <v>0</v>
      </c>
      <c r="G93" s="2"/>
      <c r="H93" s="2"/>
      <c r="I93" s="2"/>
      <c r="J93" s="23">
        <f t="shared" si="6"/>
        <v>0</v>
      </c>
      <c r="K93" s="2"/>
      <c r="L93" s="2">
        <f t="shared" si="7"/>
        <v>0</v>
      </c>
      <c r="M93" s="2"/>
      <c r="N93" s="23">
        <f t="shared" si="8"/>
        <v>0</v>
      </c>
      <c r="O93" s="11"/>
      <c r="P93" s="2">
        <v>38.049999999999997</v>
      </c>
      <c r="Q93" s="2"/>
      <c r="R93" s="23">
        <f t="shared" si="9"/>
        <v>2.0842686979827057E-5</v>
      </c>
      <c r="S93" s="2"/>
      <c r="T93" s="2"/>
      <c r="U93" s="2"/>
      <c r="V93" s="23">
        <f t="shared" si="10"/>
        <v>0</v>
      </c>
      <c r="W93" s="2"/>
      <c r="X93" s="2">
        <f t="shared" si="11"/>
        <v>38.049999999999997</v>
      </c>
      <c r="Y93" s="2"/>
      <c r="Z93" s="23">
        <f t="shared" si="12"/>
        <v>0</v>
      </c>
    </row>
    <row r="94" spans="1:26" s="24" customFormat="1" hidden="1" outlineLevel="1" x14ac:dyDescent="0.25">
      <c r="A94" s="51"/>
      <c r="B94" s="11" t="str">
        <f>CONCATENATE("          ", "5540", " - ", "FREIGHT-IN-LOGO CLOTHING")</f>
        <v xml:space="preserve">          5540 - FREIGHT-IN-LOGO CLOTHING</v>
      </c>
      <c r="C94" s="11"/>
      <c r="D94" s="2">
        <v>1021.7</v>
      </c>
      <c r="E94" s="2"/>
      <c r="F94" s="23">
        <f t="shared" si="5"/>
        <v>6.3939646881049734E-4</v>
      </c>
      <c r="G94" s="2"/>
      <c r="H94" s="2"/>
      <c r="I94" s="2"/>
      <c r="J94" s="23">
        <f t="shared" si="6"/>
        <v>0</v>
      </c>
      <c r="K94" s="2"/>
      <c r="L94" s="2">
        <f t="shared" si="7"/>
        <v>1021.7</v>
      </c>
      <c r="M94" s="2"/>
      <c r="N94" s="23">
        <f t="shared" si="8"/>
        <v>0</v>
      </c>
      <c r="O94" s="11"/>
      <c r="P94" s="2">
        <v>1931.53</v>
      </c>
      <c r="Q94" s="2"/>
      <c r="R94" s="23">
        <f t="shared" si="9"/>
        <v>1.0580361414492866E-3</v>
      </c>
      <c r="S94" s="2"/>
      <c r="T94" s="2"/>
      <c r="U94" s="2"/>
      <c r="V94" s="23">
        <f t="shared" si="10"/>
        <v>0</v>
      </c>
      <c r="W94" s="2"/>
      <c r="X94" s="2">
        <f t="shared" si="11"/>
        <v>1931.53</v>
      </c>
      <c r="Y94" s="2"/>
      <c r="Z94" s="23">
        <f t="shared" si="12"/>
        <v>0</v>
      </c>
    </row>
    <row r="95" spans="1:26" s="24" customFormat="1" hidden="1" outlineLevel="1" x14ac:dyDescent="0.25">
      <c r="A95" s="51"/>
      <c r="B95" s="11" t="str">
        <f>CONCATENATE("          ", "5541", " - ", "FREIGHT-IN-LOGO GIFTS")</f>
        <v xml:space="preserve">          5541 - FREIGHT-IN-LOGO GIFTS</v>
      </c>
      <c r="C95" s="11"/>
      <c r="D95" s="2">
        <v>123.12</v>
      </c>
      <c r="E95" s="2"/>
      <c r="F95" s="23">
        <f t="shared" si="5"/>
        <v>7.7050497445383607E-5</v>
      </c>
      <c r="G95" s="2"/>
      <c r="H95" s="2"/>
      <c r="I95" s="2"/>
      <c r="J95" s="23">
        <f t="shared" si="6"/>
        <v>0</v>
      </c>
      <c r="K95" s="2"/>
      <c r="L95" s="2">
        <f t="shared" si="7"/>
        <v>123.12</v>
      </c>
      <c r="M95" s="2"/>
      <c r="N95" s="23">
        <f t="shared" si="8"/>
        <v>0</v>
      </c>
      <c r="O95" s="11"/>
      <c r="P95" s="2">
        <v>206.7</v>
      </c>
      <c r="Q95" s="2"/>
      <c r="R95" s="23">
        <f t="shared" si="9"/>
        <v>1.1322426803496065E-4</v>
      </c>
      <c r="S95" s="2"/>
      <c r="T95" s="2"/>
      <c r="U95" s="2"/>
      <c r="V95" s="23">
        <f t="shared" si="10"/>
        <v>0</v>
      </c>
      <c r="W95" s="2"/>
      <c r="X95" s="2">
        <f t="shared" si="11"/>
        <v>206.7</v>
      </c>
      <c r="Y95" s="2"/>
      <c r="Z95" s="23">
        <f t="shared" si="12"/>
        <v>0</v>
      </c>
    </row>
    <row r="96" spans="1:26" s="24" customFormat="1" hidden="1" outlineLevel="1" x14ac:dyDescent="0.25">
      <c r="A96" s="51"/>
      <c r="B96" s="11" t="str">
        <f>CONCATENATE("          ", "5542", " - ", "FREIGHT-IN-EVERYDAY GIFTS")</f>
        <v xml:space="preserve">          5542 - FREIGHT-IN-EVERYDAY GIFTS</v>
      </c>
      <c r="C96" s="11"/>
      <c r="D96" s="2"/>
      <c r="E96" s="2"/>
      <c r="F96" s="23">
        <f t="shared" si="5"/>
        <v>0</v>
      </c>
      <c r="G96" s="2"/>
      <c r="H96" s="2"/>
      <c r="I96" s="2"/>
      <c r="J96" s="23">
        <f t="shared" si="6"/>
        <v>0</v>
      </c>
      <c r="K96" s="2"/>
      <c r="L96" s="2">
        <f t="shared" si="7"/>
        <v>0</v>
      </c>
      <c r="M96" s="2"/>
      <c r="N96" s="23">
        <f t="shared" si="8"/>
        <v>0</v>
      </c>
      <c r="O96" s="11"/>
      <c r="P96" s="2">
        <v>5.94</v>
      </c>
      <c r="Q96" s="2"/>
      <c r="R96" s="23">
        <f t="shared" si="9"/>
        <v>3.2537598071004658E-6</v>
      </c>
      <c r="S96" s="2"/>
      <c r="T96" s="2"/>
      <c r="U96" s="2"/>
      <c r="V96" s="23">
        <f t="shared" si="10"/>
        <v>0</v>
      </c>
      <c r="W96" s="2"/>
      <c r="X96" s="2">
        <f t="shared" si="11"/>
        <v>5.94</v>
      </c>
      <c r="Y96" s="2"/>
      <c r="Z96" s="23">
        <f t="shared" si="12"/>
        <v>0</v>
      </c>
    </row>
    <row r="97" spans="1:26" s="24" customFormat="1" hidden="1" outlineLevel="1" x14ac:dyDescent="0.25">
      <c r="A97" s="51"/>
      <c r="B97" s="11" t="str">
        <f>CONCATENATE("          ", "5545", " - ", "FREIGHT-IN-SPECIAL ORDERS")</f>
        <v xml:space="preserve">          5545 - FREIGHT-IN-SPECIAL ORDERS</v>
      </c>
      <c r="C97" s="11"/>
      <c r="D97" s="2">
        <v>145.6</v>
      </c>
      <c r="E97" s="2"/>
      <c r="F97" s="23">
        <f t="shared" si="5"/>
        <v>9.1118846881480285E-5</v>
      </c>
      <c r="G97" s="2"/>
      <c r="H97" s="2"/>
      <c r="I97" s="2"/>
      <c r="J97" s="23">
        <f t="shared" si="6"/>
        <v>0</v>
      </c>
      <c r="K97" s="2"/>
      <c r="L97" s="2">
        <f t="shared" si="7"/>
        <v>145.6</v>
      </c>
      <c r="M97" s="2"/>
      <c r="N97" s="23">
        <f t="shared" si="8"/>
        <v>0</v>
      </c>
      <c r="O97" s="11"/>
      <c r="P97" s="2">
        <v>446</v>
      </c>
      <c r="Q97" s="2"/>
      <c r="R97" s="23">
        <f t="shared" si="9"/>
        <v>2.443058710381831E-4</v>
      </c>
      <c r="S97" s="2"/>
      <c r="T97" s="2"/>
      <c r="U97" s="2"/>
      <c r="V97" s="23">
        <f t="shared" si="10"/>
        <v>0</v>
      </c>
      <c r="W97" s="2"/>
      <c r="X97" s="2">
        <f t="shared" si="11"/>
        <v>446</v>
      </c>
      <c r="Y97" s="2"/>
      <c r="Z97" s="23">
        <f t="shared" si="12"/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2" customFormat="1" x14ac:dyDescent="0.25">
      <c r="A99" s="10"/>
      <c r="B99" s="26" t="s">
        <v>6</v>
      </c>
      <c r="C99" s="26"/>
      <c r="D99" s="21">
        <f>D12-D73</f>
        <v>518532.8200000003</v>
      </c>
      <c r="E99" s="13"/>
      <c r="F99" s="20">
        <f>IF(D$12=0,0,D99/D$12)</f>
        <v>0.32450626805358657</v>
      </c>
      <c r="G99" s="13"/>
      <c r="H99" s="21">
        <f>H12-H73</f>
        <v>700474.99999999977</v>
      </c>
      <c r="I99" s="13"/>
      <c r="J99" s="20">
        <f>IF(H$12=0,0,H99/H$12)</f>
        <v>0.35052878942401128</v>
      </c>
      <c r="K99" s="16"/>
      <c r="L99" s="21">
        <f>+D99-H99</f>
        <v>-181942.17999999947</v>
      </c>
      <c r="M99" s="16"/>
      <c r="N99" s="20">
        <f>IF(H99=0,0,L99/H99)</f>
        <v>-0.25974114707876733</v>
      </c>
      <c r="O99" s="25"/>
      <c r="P99" s="21">
        <f>P12-P73</f>
        <v>605031.67000000016</v>
      </c>
      <c r="Q99" s="13"/>
      <c r="R99" s="20">
        <f>IF(P$12=0,0,P99/P$12)</f>
        <v>0.33141880974223453</v>
      </c>
      <c r="S99" s="13"/>
      <c r="T99" s="21">
        <f>T12-T73</f>
        <v>847395</v>
      </c>
      <c r="U99" s="13"/>
      <c r="V99" s="20">
        <f>IF(T$12=0,0,T99/T$12)</f>
        <v>0.36837190741177867</v>
      </c>
      <c r="W99" s="16"/>
      <c r="X99" s="21">
        <f>+P99-T99</f>
        <v>-242363.32999999984</v>
      </c>
      <c r="Y99" s="16"/>
      <c r="Z99" s="20">
        <f>IF(T99=0,0,X99/T99)</f>
        <v>-0.28600986552906243</v>
      </c>
    </row>
    <row r="100" spans="1:26" x14ac:dyDescent="0.25">
      <c r="A100" s="9"/>
      <c r="B100" s="10"/>
      <c r="C100" s="9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2" customFormat="1" x14ac:dyDescent="0.25">
      <c r="A101" s="10"/>
      <c r="B101" s="25" t="s">
        <v>9</v>
      </c>
      <c r="C101" s="10"/>
      <c r="D101" s="19">
        <f>SUM(OSRRefD22x_0)</f>
        <v>253866.56000000003</v>
      </c>
      <c r="E101" s="19"/>
      <c r="F101" s="30">
        <f t="shared" ref="F101:F112" si="13">IF(D$12=0,0,D101/D$12)</f>
        <v>0.15887382011653936</v>
      </c>
      <c r="G101" s="19"/>
      <c r="H101" s="19">
        <f>SUM(OSRRefH22x_0)</f>
        <v>489927.7487582154</v>
      </c>
      <c r="I101" s="19"/>
      <c r="J101" s="30">
        <f t="shared" ref="J101:J112" si="14">IF(H$12=0,0,H101/H$12)</f>
        <v>0.24516760866190576</v>
      </c>
      <c r="K101" s="4"/>
      <c r="L101" s="19">
        <f t="shared" ref="L101:L112" si="15">+D101-H101</f>
        <v>-236061.18875821537</v>
      </c>
      <c r="M101" s="4"/>
      <c r="N101" s="30">
        <f t="shared" ref="N101:N112" si="16">IF(H101=0,0,L101/H101)</f>
        <v>-0.4818285744307047</v>
      </c>
      <c r="O101" s="10"/>
      <c r="P101" s="19">
        <f>SUM(OSRRefP22x_0)</f>
        <v>607742.44000000018</v>
      </c>
      <c r="Q101" s="19"/>
      <c r="R101" s="30">
        <f t="shared" ref="R101:R112" si="17">IF(P$12=0,0,P101/P$12)</f>
        <v>0.33290369096652644</v>
      </c>
      <c r="S101" s="19"/>
      <c r="T101" s="19">
        <f>SUM(OSRRefT22x_0)</f>
        <v>915071.28621835972</v>
      </c>
      <c r="U101" s="19"/>
      <c r="V101" s="30">
        <f t="shared" ref="V101:V112" si="18">IF(T$12=0,0,T101/T$12)</f>
        <v>0.3977915318381709</v>
      </c>
      <c r="W101" s="4"/>
      <c r="X101" s="19">
        <f t="shared" ref="X101:X112" si="19">+P101-T101</f>
        <v>-307328.84621835954</v>
      </c>
      <c r="Y101" s="4"/>
      <c r="Z101" s="30">
        <f t="shared" ref="Z101:Z112" si="20">IF(T101=0,0,X101/T101)</f>
        <v>-0.33585235472575292</v>
      </c>
    </row>
    <row r="102" spans="1:26" s="29" customFormat="1" outlineLevel="1" collapsed="1" x14ac:dyDescent="0.25">
      <c r="A102" s="28"/>
      <c r="B102" s="14" t="str">
        <f>CONCATENATE("     ","*Benefits                                         ")</f>
        <v xml:space="preserve">     *Benefits                                         </v>
      </c>
      <c r="C102" s="14"/>
      <c r="D102" s="1">
        <f>SUM(OSRRefD22_0x_0)</f>
        <v>51389.34</v>
      </c>
      <c r="E102" s="1"/>
      <c r="F102" s="5">
        <f t="shared" si="13"/>
        <v>3.2160284359892377E-2</v>
      </c>
      <c r="G102" s="1"/>
      <c r="H102" s="1">
        <f>SUM(OSRRefH22_0x_0)</f>
        <v>56056.326976061537</v>
      </c>
      <c r="I102" s="1"/>
      <c r="J102" s="5">
        <f t="shared" si="14"/>
        <v>2.8051474263143444E-2</v>
      </c>
      <c r="K102" s="1"/>
      <c r="L102" s="1">
        <f t="shared" si="15"/>
        <v>-4666.9869760615402</v>
      </c>
      <c r="M102" s="1"/>
      <c r="N102" s="5">
        <f t="shared" si="16"/>
        <v>-8.3255311716276814E-2</v>
      </c>
      <c r="O102" s="14"/>
      <c r="P102" s="1">
        <f>SUM(OSRRefP22_0x_0)</f>
        <v>101051.01</v>
      </c>
      <c r="Q102" s="1"/>
      <c r="R102" s="5">
        <f t="shared" si="17"/>
        <v>5.5352813940220069E-2</v>
      </c>
      <c r="S102" s="1"/>
      <c r="T102" s="1">
        <f>SUM(OSRRefT22_0x_0)</f>
        <v>115038.84220851344</v>
      </c>
      <c r="U102" s="1"/>
      <c r="V102" s="5">
        <f t="shared" si="18"/>
        <v>5.0008647361375426E-2</v>
      </c>
      <c r="W102" s="1"/>
      <c r="X102" s="1">
        <f t="shared" si="19"/>
        <v>-13987.832208513442</v>
      </c>
      <c r="Y102" s="1"/>
      <c r="Z102" s="5">
        <f t="shared" si="20"/>
        <v>-0.12159225475478816</v>
      </c>
    </row>
    <row r="103" spans="1:26" s="24" customFormat="1" hidden="1" outlineLevel="2" x14ac:dyDescent="0.25">
      <c r="A103" s="27"/>
      <c r="B103" s="11" t="str">
        <f>CONCATENATE("          ", "6111", " - ", "F.I.C.A.")</f>
        <v xml:space="preserve">          6111 - F.I.C.A.</v>
      </c>
      <c r="C103" s="11"/>
      <c r="D103" s="6">
        <v>11412.37</v>
      </c>
      <c r="E103" s="2"/>
      <c r="F103" s="7">
        <f t="shared" si="13"/>
        <v>7.1420466661043904E-3</v>
      </c>
      <c r="G103" s="2"/>
      <c r="H103" s="6">
        <v>12936.347803523078</v>
      </c>
      <c r="I103" s="2"/>
      <c r="J103" s="7">
        <f t="shared" si="14"/>
        <v>6.4735534246574298E-3</v>
      </c>
      <c r="K103" s="2"/>
      <c r="L103" s="6">
        <f t="shared" si="15"/>
        <v>-1523.9778035230775</v>
      </c>
      <c r="M103" s="2"/>
      <c r="N103" s="7">
        <f t="shared" si="16"/>
        <v>-0.11780587741371935</v>
      </c>
      <c r="O103" s="11"/>
      <c r="P103" s="6">
        <v>19840.489999999998</v>
      </c>
      <c r="Q103" s="2"/>
      <c r="R103" s="7">
        <f t="shared" si="17"/>
        <v>1.0868045271915608E-2</v>
      </c>
      <c r="S103" s="2"/>
      <c r="T103" s="6">
        <v>26630.178965301922</v>
      </c>
      <c r="U103" s="2"/>
      <c r="V103" s="7">
        <f t="shared" si="18"/>
        <v>1.1576431086052308E-2</v>
      </c>
      <c r="W103" s="2"/>
      <c r="X103" s="6">
        <f t="shared" si="19"/>
        <v>-6789.6889653019243</v>
      </c>
      <c r="Y103" s="2"/>
      <c r="Z103" s="7">
        <f t="shared" si="20"/>
        <v>-0.25496219811923243</v>
      </c>
    </row>
    <row r="104" spans="1:26" s="24" customFormat="1" hidden="1" outlineLevel="2" x14ac:dyDescent="0.25">
      <c r="A104" s="27"/>
      <c r="B104" s="11" t="str">
        <f>CONCATENATE("          ", "6112", " - ", "COMPENSATION INSURANCE")</f>
        <v xml:space="preserve">          6112 - COMPENSATION INSURANCE</v>
      </c>
      <c r="C104" s="11"/>
      <c r="D104" s="6">
        <v>2528.56</v>
      </c>
      <c r="E104" s="2"/>
      <c r="F104" s="7">
        <f t="shared" si="13"/>
        <v>1.5824139524082128E-3</v>
      </c>
      <c r="G104" s="2"/>
      <c r="H104" s="6">
        <v>4119.6371080769186</v>
      </c>
      <c r="I104" s="2"/>
      <c r="J104" s="7">
        <f t="shared" si="14"/>
        <v>2.0615316868702487E-3</v>
      </c>
      <c r="K104" s="2"/>
      <c r="L104" s="6">
        <f t="shared" si="15"/>
        <v>-1591.0771080769186</v>
      </c>
      <c r="M104" s="2"/>
      <c r="N104" s="7">
        <f t="shared" si="16"/>
        <v>-0.38621778237638188</v>
      </c>
      <c r="O104" s="11"/>
      <c r="P104" s="6">
        <v>4477.37</v>
      </c>
      <c r="Q104" s="2"/>
      <c r="R104" s="7">
        <f t="shared" si="17"/>
        <v>2.4525734928480493E-3</v>
      </c>
      <c r="S104" s="2"/>
      <c r="T104" s="6">
        <v>7590.7811681730727</v>
      </c>
      <c r="U104" s="2"/>
      <c r="V104" s="7">
        <f t="shared" si="18"/>
        <v>3.2997958893613063E-3</v>
      </c>
      <c r="W104" s="2"/>
      <c r="X104" s="6">
        <f t="shared" si="19"/>
        <v>-3113.4111681730728</v>
      </c>
      <c r="Y104" s="2"/>
      <c r="Z104" s="7">
        <f t="shared" si="20"/>
        <v>-0.41015688625396107</v>
      </c>
    </row>
    <row r="105" spans="1:26" s="24" customFormat="1" hidden="1" outlineLevel="2" x14ac:dyDescent="0.25">
      <c r="A105" s="27"/>
      <c r="B105" s="11" t="str">
        <f>CONCATENATE("          ", "6113", " - ", "GROUP INSURANCE")</f>
        <v xml:space="preserve">          6113 - GROUP INSURANCE</v>
      </c>
      <c r="C105" s="11"/>
      <c r="D105" s="6">
        <v>18240.329999999998</v>
      </c>
      <c r="E105" s="2"/>
      <c r="F105" s="7">
        <f t="shared" si="13"/>
        <v>1.1415095029791697E-2</v>
      </c>
      <c r="G105" s="2"/>
      <c r="H105" s="6">
        <v>21247.5</v>
      </c>
      <c r="I105" s="2"/>
      <c r="J105" s="7">
        <f t="shared" si="14"/>
        <v>1.0632585678699E-2</v>
      </c>
      <c r="K105" s="2"/>
      <c r="L105" s="6">
        <f t="shared" si="15"/>
        <v>-3007.1700000000019</v>
      </c>
      <c r="M105" s="2"/>
      <c r="N105" s="7">
        <f t="shared" si="16"/>
        <v>-0.14153053300388291</v>
      </c>
      <c r="O105" s="11"/>
      <c r="P105" s="6">
        <v>36329.58</v>
      </c>
      <c r="Q105" s="2"/>
      <c r="R105" s="7">
        <f t="shared" si="17"/>
        <v>1.990029077657255E-2</v>
      </c>
      <c r="S105" s="2"/>
      <c r="T105" s="6">
        <v>43274.999999999985</v>
      </c>
      <c r="U105" s="2"/>
      <c r="V105" s="7">
        <f t="shared" si="18"/>
        <v>1.8812117481510651E-2</v>
      </c>
      <c r="W105" s="2"/>
      <c r="X105" s="6">
        <f t="shared" si="19"/>
        <v>-6945.4199999999837</v>
      </c>
      <c r="Y105" s="2"/>
      <c r="Z105" s="7">
        <f t="shared" si="20"/>
        <v>-0.16049497400346588</v>
      </c>
    </row>
    <row r="106" spans="1:26" s="24" customFormat="1" hidden="1" outlineLevel="2" x14ac:dyDescent="0.25">
      <c r="A106" s="27"/>
      <c r="B106" s="11" t="str">
        <f>CONCATENATE("          ", "6114", " - ", "STATE UNEMPLOYMENT INSURANCE")</f>
        <v xml:space="preserve">          6114 - STATE UNEMPLOYMENT INSURANCE</v>
      </c>
      <c r="C106" s="11"/>
      <c r="D106" s="6">
        <v>396.16</v>
      </c>
      <c r="E106" s="2"/>
      <c r="F106" s="7">
        <f t="shared" si="13"/>
        <v>2.4792336799840133E-4</v>
      </c>
      <c r="G106" s="2"/>
      <c r="H106" s="6">
        <v>582.11942599999998</v>
      </c>
      <c r="I106" s="2"/>
      <c r="J106" s="7">
        <f t="shared" si="14"/>
        <v>2.913017847831548E-4</v>
      </c>
      <c r="K106" s="2"/>
      <c r="L106" s="6">
        <f t="shared" si="15"/>
        <v>-185.95942599999995</v>
      </c>
      <c r="M106" s="2"/>
      <c r="N106" s="7">
        <f t="shared" si="16"/>
        <v>-0.31945236268407912</v>
      </c>
      <c r="O106" s="11"/>
      <c r="P106" s="6">
        <v>695.11</v>
      </c>
      <c r="Q106" s="2"/>
      <c r="R106" s="7">
        <f t="shared" si="17"/>
        <v>3.8076110766222302E-4</v>
      </c>
      <c r="S106" s="2"/>
      <c r="T106" s="6">
        <v>1069.9558884999999</v>
      </c>
      <c r="U106" s="2"/>
      <c r="V106" s="7">
        <f t="shared" si="18"/>
        <v>4.6512156844589515E-4</v>
      </c>
      <c r="W106" s="2"/>
      <c r="X106" s="6">
        <f t="shared" si="19"/>
        <v>-374.84588849999989</v>
      </c>
      <c r="Y106" s="2"/>
      <c r="Z106" s="7">
        <f t="shared" si="20"/>
        <v>-0.35033770319775187</v>
      </c>
    </row>
    <row r="107" spans="1:26" s="24" customFormat="1" hidden="1" outlineLevel="2" x14ac:dyDescent="0.25">
      <c r="A107" s="27"/>
      <c r="B107" s="11" t="str">
        <f>CONCATENATE("          ", "6115", " - ", "P.E.R.S.")</f>
        <v xml:space="preserve">          6115 - P.E.R.S.</v>
      </c>
      <c r="C107" s="11"/>
      <c r="D107" s="6">
        <v>7091.2</v>
      </c>
      <c r="E107" s="2"/>
      <c r="F107" s="7">
        <f t="shared" si="13"/>
        <v>4.4377882349309963E-3</v>
      </c>
      <c r="G107" s="2"/>
      <c r="H107" s="6">
        <v>5529.1917153846161</v>
      </c>
      <c r="I107" s="2"/>
      <c r="J107" s="7">
        <f t="shared" si="14"/>
        <v>2.7668951475599305E-3</v>
      </c>
      <c r="K107" s="2"/>
      <c r="L107" s="6">
        <f t="shared" si="15"/>
        <v>1562.0082846153837</v>
      </c>
      <c r="M107" s="2"/>
      <c r="N107" s="7">
        <f t="shared" si="16"/>
        <v>0.28250210248076535</v>
      </c>
      <c r="O107" s="11"/>
      <c r="P107" s="6">
        <v>17112.02</v>
      </c>
      <c r="Q107" s="2"/>
      <c r="R107" s="7">
        <f t="shared" si="17"/>
        <v>9.3734685007237899E-3</v>
      </c>
      <c r="S107" s="2"/>
      <c r="T107" s="6">
        <v>12440.681359615386</v>
      </c>
      <c r="U107" s="2"/>
      <c r="V107" s="7">
        <f t="shared" si="18"/>
        <v>5.4081007345378245E-3</v>
      </c>
      <c r="W107" s="2"/>
      <c r="X107" s="6">
        <f t="shared" si="19"/>
        <v>4671.3386403846143</v>
      </c>
      <c r="Y107" s="2"/>
      <c r="Z107" s="7">
        <f t="shared" si="20"/>
        <v>0.37548897084918448</v>
      </c>
    </row>
    <row r="108" spans="1:26" s="24" customFormat="1" hidden="1" outlineLevel="2" x14ac:dyDescent="0.25">
      <c r="A108" s="27"/>
      <c r="B108" s="11" t="str">
        <f>CONCATENATE("          ", "6116", " - ", "EDUCATIONAL BENEFITS")</f>
        <v xml:space="preserve">          6116 - EDUCATIONAL BENEFITS</v>
      </c>
      <c r="C108" s="11"/>
      <c r="D108" s="6"/>
      <c r="E108" s="2"/>
      <c r="F108" s="7">
        <f t="shared" si="13"/>
        <v>0</v>
      </c>
      <c r="G108" s="2"/>
      <c r="H108" s="6">
        <v>0</v>
      </c>
      <c r="I108" s="2"/>
      <c r="J108" s="7">
        <f t="shared" si="14"/>
        <v>0</v>
      </c>
      <c r="K108" s="2"/>
      <c r="L108" s="6">
        <f t="shared" si="15"/>
        <v>0</v>
      </c>
      <c r="M108" s="2"/>
      <c r="N108" s="7">
        <f t="shared" si="16"/>
        <v>0</v>
      </c>
      <c r="O108" s="11"/>
      <c r="P108" s="6">
        <v>0</v>
      </c>
      <c r="Q108" s="2"/>
      <c r="R108" s="7">
        <f t="shared" si="17"/>
        <v>0</v>
      </c>
      <c r="S108" s="2"/>
      <c r="T108" s="6">
        <v>0</v>
      </c>
      <c r="U108" s="2"/>
      <c r="V108" s="7">
        <f t="shared" si="18"/>
        <v>0</v>
      </c>
      <c r="W108" s="2"/>
      <c r="X108" s="6">
        <f t="shared" si="19"/>
        <v>0</v>
      </c>
      <c r="Y108" s="2"/>
      <c r="Z108" s="7">
        <f t="shared" si="20"/>
        <v>0</v>
      </c>
    </row>
    <row r="109" spans="1:26" s="24" customFormat="1" hidden="1" outlineLevel="2" x14ac:dyDescent="0.25">
      <c r="A109" s="27"/>
      <c r="B109" s="11" t="str">
        <f>CONCATENATE("          ", "6117", " - ", "RETIREMENT STAFF HOURLY")</f>
        <v xml:space="preserve">          6117 - RETIREMENT STAFF HOURLY</v>
      </c>
      <c r="C109" s="11"/>
      <c r="D109" s="6">
        <v>255.65</v>
      </c>
      <c r="E109" s="2"/>
      <c r="F109" s="7">
        <f t="shared" si="13"/>
        <v>1.5998992586023652E-4</v>
      </c>
      <c r="G109" s="2"/>
      <c r="H109" s="6"/>
      <c r="I109" s="2"/>
      <c r="J109" s="7">
        <f t="shared" si="14"/>
        <v>0</v>
      </c>
      <c r="K109" s="2"/>
      <c r="L109" s="6">
        <f t="shared" si="15"/>
        <v>255.65</v>
      </c>
      <c r="M109" s="2"/>
      <c r="N109" s="7">
        <f t="shared" si="16"/>
        <v>0</v>
      </c>
      <c r="O109" s="11"/>
      <c r="P109" s="6">
        <v>588.79</v>
      </c>
      <c r="Q109" s="2"/>
      <c r="R109" s="7">
        <f t="shared" si="17"/>
        <v>3.2252209374119243E-4</v>
      </c>
      <c r="S109" s="2"/>
      <c r="T109" s="6"/>
      <c r="U109" s="2"/>
      <c r="V109" s="7">
        <f t="shared" si="18"/>
        <v>0</v>
      </c>
      <c r="W109" s="2"/>
      <c r="X109" s="6">
        <f t="shared" si="19"/>
        <v>588.79</v>
      </c>
      <c r="Y109" s="2"/>
      <c r="Z109" s="7">
        <f t="shared" si="20"/>
        <v>0</v>
      </c>
    </row>
    <row r="110" spans="1:26" s="24" customFormat="1" hidden="1" outlineLevel="2" x14ac:dyDescent="0.25">
      <c r="A110" s="27"/>
      <c r="B110" s="11" t="str">
        <f>CONCATENATE("          ", "6118", " - ", "VACATION")</f>
        <v xml:space="preserve">          6118 - VACATION</v>
      </c>
      <c r="C110" s="11"/>
      <c r="D110" s="6">
        <v>5637.74</v>
      </c>
      <c r="E110" s="2"/>
      <c r="F110" s="7">
        <f t="shared" si="13"/>
        <v>3.5281893394065703E-3</v>
      </c>
      <c r="G110" s="2"/>
      <c r="H110" s="6">
        <v>4320.7234200000012</v>
      </c>
      <c r="I110" s="2"/>
      <c r="J110" s="7">
        <f t="shared" si="14"/>
        <v>2.1621584636833217E-3</v>
      </c>
      <c r="K110" s="2"/>
      <c r="L110" s="6">
        <f t="shared" si="15"/>
        <v>1317.0165799999986</v>
      </c>
      <c r="M110" s="2"/>
      <c r="N110" s="7">
        <f t="shared" si="16"/>
        <v>0.30481390544549092</v>
      </c>
      <c r="O110" s="11"/>
      <c r="P110" s="6">
        <v>11170.32</v>
      </c>
      <c r="Q110" s="2"/>
      <c r="R110" s="7">
        <f t="shared" si="17"/>
        <v>6.1187774829041201E-3</v>
      </c>
      <c r="S110" s="2"/>
      <c r="T110" s="6">
        <v>9721.6276949999974</v>
      </c>
      <c r="U110" s="2"/>
      <c r="V110" s="7">
        <f t="shared" si="18"/>
        <v>4.2260982625036995E-3</v>
      </c>
      <c r="W110" s="2"/>
      <c r="X110" s="6">
        <f t="shared" si="19"/>
        <v>1448.6923050000023</v>
      </c>
      <c r="Y110" s="2"/>
      <c r="Z110" s="7">
        <f t="shared" si="20"/>
        <v>0.14901746399371887</v>
      </c>
    </row>
    <row r="111" spans="1:26" s="24" customFormat="1" hidden="1" outlineLevel="2" x14ac:dyDescent="0.25">
      <c r="A111" s="27"/>
      <c r="B111" s="11" t="str">
        <f>CONCATENATE("          ", "6119", " - ", "SICK LEAVE")</f>
        <v xml:space="preserve">          6119 - SICK LEAVE</v>
      </c>
      <c r="C111" s="11"/>
      <c r="D111" s="6">
        <v>4067.85</v>
      </c>
      <c r="E111" s="2"/>
      <c r="F111" s="7">
        <f t="shared" si="13"/>
        <v>2.5457266571897634E-3</v>
      </c>
      <c r="G111" s="2"/>
      <c r="H111" s="6">
        <v>5520.8075030769223</v>
      </c>
      <c r="I111" s="2"/>
      <c r="J111" s="7">
        <f t="shared" si="14"/>
        <v>2.7626995548685573E-3</v>
      </c>
      <c r="K111" s="2"/>
      <c r="L111" s="6">
        <f t="shared" si="15"/>
        <v>-1452.9575030769224</v>
      </c>
      <c r="M111" s="2"/>
      <c r="N111" s="7">
        <f t="shared" si="16"/>
        <v>-0.26317843943429342</v>
      </c>
      <c r="O111" s="11"/>
      <c r="P111" s="6">
        <v>8056.45</v>
      </c>
      <c r="Q111" s="2"/>
      <c r="R111" s="7">
        <f t="shared" si="17"/>
        <v>4.4130897639586778E-3</v>
      </c>
      <c r="S111" s="2"/>
      <c r="T111" s="6">
        <v>10710.617131923069</v>
      </c>
      <c r="U111" s="2"/>
      <c r="V111" s="7">
        <f t="shared" si="18"/>
        <v>4.656022825770479E-3</v>
      </c>
      <c r="W111" s="2"/>
      <c r="X111" s="6">
        <f t="shared" si="19"/>
        <v>-2654.1671319230691</v>
      </c>
      <c r="Y111" s="2"/>
      <c r="Z111" s="7">
        <f t="shared" si="20"/>
        <v>-0.24780711505523856</v>
      </c>
    </row>
    <row r="112" spans="1:26" s="24" customFormat="1" hidden="1" outlineLevel="2" x14ac:dyDescent="0.25">
      <c r="A112" s="27"/>
      <c r="B112" s="11" t="str">
        <f>CONCATENATE("          ", "6156", " - ", "EMPLOYEE MEALS")</f>
        <v xml:space="preserve">          6156 - EMPLOYEE MEALS</v>
      </c>
      <c r="C112" s="11"/>
      <c r="D112" s="6">
        <v>1759.48</v>
      </c>
      <c r="E112" s="2"/>
      <c r="F112" s="7">
        <f t="shared" si="13"/>
        <v>1.1011111862021081E-3</v>
      </c>
      <c r="G112" s="2"/>
      <c r="H112" s="6">
        <v>1800</v>
      </c>
      <c r="I112" s="2"/>
      <c r="J112" s="7">
        <f t="shared" si="14"/>
        <v>9.0074852202180018E-4</v>
      </c>
      <c r="K112" s="2"/>
      <c r="L112" s="6">
        <f t="shared" si="15"/>
        <v>-40.519999999999982</v>
      </c>
      <c r="M112" s="2"/>
      <c r="N112" s="7">
        <f t="shared" si="16"/>
        <v>-2.25111111111111E-2</v>
      </c>
      <c r="O112" s="11"/>
      <c r="P112" s="6">
        <v>2780.88</v>
      </c>
      <c r="Q112" s="2"/>
      <c r="R112" s="7">
        <f t="shared" si="17"/>
        <v>1.5232854498938625E-3</v>
      </c>
      <c r="S112" s="2"/>
      <c r="T112" s="6">
        <v>3600</v>
      </c>
      <c r="U112" s="2"/>
      <c r="V112" s="7">
        <f t="shared" si="18"/>
        <v>1.5649595131932608E-3</v>
      </c>
      <c r="W112" s="2"/>
      <c r="X112" s="6">
        <f t="shared" si="19"/>
        <v>-819.11999999999989</v>
      </c>
      <c r="Y112" s="2"/>
      <c r="Z112" s="7">
        <f t="shared" si="20"/>
        <v>-0.22753333333333331</v>
      </c>
    </row>
    <row r="113" spans="1:26" s="29" customFormat="1" outlineLevel="1" collapsed="1" x14ac:dyDescent="0.25">
      <c r="A113" s="28"/>
      <c r="B113" s="14" t="str">
        <f>CONCATENATE("     ","*Payroll                                          ")</f>
        <v xml:space="preserve">     *Payroll                                          </v>
      </c>
      <c r="C113" s="14"/>
      <c r="D113" s="1">
        <f>SUM(OSRRefD22_1x_0)</f>
        <v>170009.67</v>
      </c>
      <c r="E113" s="1"/>
      <c r="F113" s="5">
        <f t="shared" ref="F113:F123" si="21">IF(D$12=0,0,D113/D$12)</f>
        <v>0.10639481517239693</v>
      </c>
      <c r="G113" s="1"/>
      <c r="H113" s="1">
        <f>SUM(OSRRefH22_1x_0)</f>
        <v>212679.42178215386</v>
      </c>
      <c r="I113" s="1"/>
      <c r="J113" s="5">
        <f t="shared" ref="J113:J123" si="22">IF(H$12=0,0,H113/H$12)</f>
        <v>0.10642815268595898</v>
      </c>
      <c r="K113" s="1"/>
      <c r="L113" s="1">
        <f t="shared" ref="L113:L123" si="23">+D113-H113</f>
        <v>-42669.751782153849</v>
      </c>
      <c r="M113" s="1"/>
      <c r="N113" s="5">
        <f t="shared" ref="N113:N123" si="24">IF(H113=0,0,L113/H113)</f>
        <v>-0.20062943290235288</v>
      </c>
      <c r="O113" s="14"/>
      <c r="P113" s="1">
        <f>SUM(OSRRefP22_1x_0)</f>
        <v>301964.26</v>
      </c>
      <c r="Q113" s="1"/>
      <c r="R113" s="5">
        <f t="shared" ref="R113:R123" si="25">IF(P$12=0,0,P113/P$12)</f>
        <v>0.16540726807556144</v>
      </c>
      <c r="S113" s="1"/>
      <c r="T113" s="1">
        <f>SUM(OSRRefT22_1x_0)</f>
        <v>387315.44400984631</v>
      </c>
      <c r="U113" s="1"/>
      <c r="V113" s="5">
        <f t="shared" ref="V113:V123" si="26">IF(T$12=0,0,T113/T$12)</f>
        <v>0.16837027464163354</v>
      </c>
      <c r="W113" s="1"/>
      <c r="X113" s="1">
        <f t="shared" ref="X113:X123" si="27">+P113-T113</f>
        <v>-85351.1840098463</v>
      </c>
      <c r="Y113" s="1"/>
      <c r="Z113" s="5">
        <f t="shared" ref="Z113:Z123" si="28">IF(T113=0,0,X113/T113)</f>
        <v>-0.2203660745520814</v>
      </c>
    </row>
    <row r="114" spans="1:26" s="24" customFormat="1" hidden="1" outlineLevel="2" x14ac:dyDescent="0.25">
      <c r="A114" s="27"/>
      <c r="B114" s="11" t="str">
        <f>CONCATENATE("          ", "6001", " - ", "ADMINISTRATIVE SALARIES")</f>
        <v xml:space="preserve">          6001 - ADMINISTRATIVE SALARIES</v>
      </c>
      <c r="C114" s="11"/>
      <c r="D114" s="6">
        <v>4205.74</v>
      </c>
      <c r="E114" s="2"/>
      <c r="F114" s="7">
        <f t="shared" si="21"/>
        <v>2.6320204607370667E-3</v>
      </c>
      <c r="G114" s="2"/>
      <c r="H114" s="6">
        <v>13047.392307692309</v>
      </c>
      <c r="I114" s="2"/>
      <c r="J114" s="7">
        <f t="shared" si="22"/>
        <v>6.5291218541069186E-3</v>
      </c>
      <c r="K114" s="2"/>
      <c r="L114" s="6">
        <f t="shared" si="23"/>
        <v>-8841.6523076923095</v>
      </c>
      <c r="M114" s="2"/>
      <c r="N114" s="7">
        <f t="shared" si="24"/>
        <v>-0.67765666113063561</v>
      </c>
      <c r="O114" s="11"/>
      <c r="P114" s="6">
        <v>8731.59</v>
      </c>
      <c r="Q114" s="2"/>
      <c r="R114" s="7">
        <f t="shared" si="25"/>
        <v>4.7829118845253123E-3</v>
      </c>
      <c r="S114" s="2"/>
      <c r="T114" s="6">
        <v>29356.632692307699</v>
      </c>
      <c r="U114" s="2"/>
      <c r="V114" s="7">
        <f t="shared" si="26"/>
        <v>1.2761650446429783E-2</v>
      </c>
      <c r="W114" s="2"/>
      <c r="X114" s="6">
        <f t="shared" si="27"/>
        <v>-20625.042692307699</v>
      </c>
      <c r="Y114" s="2"/>
      <c r="Z114" s="7">
        <f t="shared" si="28"/>
        <v>-0.70256840791253505</v>
      </c>
    </row>
    <row r="115" spans="1:26" s="24" customFormat="1" hidden="1" outlineLevel="2" x14ac:dyDescent="0.25">
      <c r="A115" s="27"/>
      <c r="B115" s="11" t="str">
        <f>CONCATENATE("          ", "6002", " - ", "STAFF SALARIES")</f>
        <v xml:space="preserve">          6002 - STAFF SALARIES</v>
      </c>
      <c r="C115" s="11"/>
      <c r="D115" s="6">
        <v>63577.420000000006</v>
      </c>
      <c r="E115" s="2"/>
      <c r="F115" s="7">
        <f t="shared" si="21"/>
        <v>3.9787782953980513E-2</v>
      </c>
      <c r="G115" s="2"/>
      <c r="H115" s="6">
        <v>44951.275394461554</v>
      </c>
      <c r="I115" s="2"/>
      <c r="J115" s="7">
        <f t="shared" si="22"/>
        <v>2.2494330485864533E-2</v>
      </c>
      <c r="K115" s="2"/>
      <c r="L115" s="6">
        <f t="shared" si="23"/>
        <v>18626.144605538451</v>
      </c>
      <c r="M115" s="2"/>
      <c r="N115" s="7">
        <f t="shared" si="24"/>
        <v>0.41436298396626536</v>
      </c>
      <c r="O115" s="11"/>
      <c r="P115" s="6">
        <v>139490.85</v>
      </c>
      <c r="Q115" s="2"/>
      <c r="R115" s="7">
        <f t="shared" si="25"/>
        <v>7.6409043971090912E-2</v>
      </c>
      <c r="S115" s="2"/>
      <c r="T115" s="6">
        <v>101140.36963753855</v>
      </c>
      <c r="U115" s="2"/>
      <c r="V115" s="7">
        <f t="shared" si="26"/>
        <v>4.3966828786707997E-2</v>
      </c>
      <c r="W115" s="2"/>
      <c r="X115" s="6">
        <f t="shared" si="27"/>
        <v>38350.480362461458</v>
      </c>
      <c r="Y115" s="2"/>
      <c r="Z115" s="7">
        <f t="shared" si="28"/>
        <v>0.37918074157628512</v>
      </c>
    </row>
    <row r="116" spans="1:26" s="24" customFormat="1" hidden="1" outlineLevel="2" x14ac:dyDescent="0.25">
      <c r="A116" s="27"/>
      <c r="B116" s="11" t="str">
        <f>CONCATENATE("          ", "6003", " - ", "STAFF HOURLY-9 MONTH")</f>
        <v xml:space="preserve">          6003 - STAFF HOURLY-9 MONTH</v>
      </c>
      <c r="C116" s="11"/>
      <c r="D116" s="6"/>
      <c r="E116" s="2"/>
      <c r="F116" s="7">
        <f t="shared" si="21"/>
        <v>0</v>
      </c>
      <c r="G116" s="2"/>
      <c r="H116" s="6">
        <v>0</v>
      </c>
      <c r="I116" s="2"/>
      <c r="J116" s="7">
        <f t="shared" si="22"/>
        <v>0</v>
      </c>
      <c r="K116" s="2"/>
      <c r="L116" s="6">
        <f t="shared" si="23"/>
        <v>0</v>
      </c>
      <c r="M116" s="2"/>
      <c r="N116" s="7">
        <f t="shared" si="24"/>
        <v>0</v>
      </c>
      <c r="O116" s="11"/>
      <c r="P116" s="6"/>
      <c r="Q116" s="2"/>
      <c r="R116" s="7">
        <f t="shared" si="25"/>
        <v>0</v>
      </c>
      <c r="S116" s="2"/>
      <c r="T116" s="6">
        <v>0</v>
      </c>
      <c r="U116" s="2"/>
      <c r="V116" s="7">
        <f t="shared" si="26"/>
        <v>0</v>
      </c>
      <c r="W116" s="2"/>
      <c r="X116" s="6">
        <f t="shared" si="27"/>
        <v>0</v>
      </c>
      <c r="Y116" s="2"/>
      <c r="Z116" s="7">
        <f t="shared" si="28"/>
        <v>0</v>
      </c>
    </row>
    <row r="117" spans="1:26" s="24" customFormat="1" hidden="1" outlineLevel="2" x14ac:dyDescent="0.25">
      <c r="A117" s="27"/>
      <c r="B117" s="11" t="str">
        <f>CONCATENATE("          ", "6004", " - ", "STAFF HOURLY")</f>
        <v xml:space="preserve">          6004 - STAFF HOURLY</v>
      </c>
      <c r="C117" s="11"/>
      <c r="D117" s="6">
        <v>13876.36</v>
      </c>
      <c r="E117" s="2"/>
      <c r="F117" s="7">
        <f t="shared" si="21"/>
        <v>8.6840516628591893E-3</v>
      </c>
      <c r="G117" s="2"/>
      <c r="H117" s="6">
        <v>27887.720079999999</v>
      </c>
      <c r="I117" s="2"/>
      <c r="J117" s="7">
        <f t="shared" si="22"/>
        <v>1.39554570247876E-2</v>
      </c>
      <c r="K117" s="2"/>
      <c r="L117" s="6">
        <f t="shared" si="23"/>
        <v>-14011.360079999999</v>
      </c>
      <c r="M117" s="2"/>
      <c r="N117" s="7">
        <f t="shared" si="24"/>
        <v>-0.50242042159797806</v>
      </c>
      <c r="O117" s="11"/>
      <c r="P117" s="6">
        <v>29589.88</v>
      </c>
      <c r="Q117" s="2"/>
      <c r="R117" s="7">
        <f t="shared" si="25"/>
        <v>1.6208478491738374E-2</v>
      </c>
      <c r="S117" s="2"/>
      <c r="T117" s="6">
        <v>57916.157680000004</v>
      </c>
      <c r="U117" s="2"/>
      <c r="V117" s="7">
        <f t="shared" si="26"/>
        <v>2.5176789424699149E-2</v>
      </c>
      <c r="W117" s="2"/>
      <c r="X117" s="6">
        <f t="shared" si="27"/>
        <v>-28326.277680000003</v>
      </c>
      <c r="Y117" s="2"/>
      <c r="Z117" s="7">
        <f t="shared" si="28"/>
        <v>-0.48909110712262982</v>
      </c>
    </row>
    <row r="118" spans="1:26" s="24" customFormat="1" hidden="1" outlineLevel="2" x14ac:dyDescent="0.25">
      <c r="A118" s="27"/>
      <c r="B118" s="11" t="str">
        <f>CONCATENATE("          ", "6005", " - ", "TEMPORARY WAGES-HOURLY")</f>
        <v xml:space="preserve">          6005 - TEMPORARY WAGES-HOURLY</v>
      </c>
      <c r="C118" s="11"/>
      <c r="D118" s="6">
        <v>22505.489999999998</v>
      </c>
      <c r="E118" s="2"/>
      <c r="F118" s="7">
        <f t="shared" si="21"/>
        <v>1.4084301492463501E-2</v>
      </c>
      <c r="G118" s="2"/>
      <c r="H118" s="6">
        <v>6344.0240000000003</v>
      </c>
      <c r="I118" s="2"/>
      <c r="J118" s="7">
        <f t="shared" si="22"/>
        <v>3.1746501342615717E-3</v>
      </c>
      <c r="K118" s="2"/>
      <c r="L118" s="6">
        <f t="shared" si="23"/>
        <v>16161.465999999997</v>
      </c>
      <c r="M118" s="2"/>
      <c r="N118" s="7">
        <f t="shared" si="24"/>
        <v>2.5475102237948652</v>
      </c>
      <c r="O118" s="11"/>
      <c r="P118" s="6">
        <v>34891.040000000001</v>
      </c>
      <c r="Q118" s="2"/>
      <c r="R118" s="7">
        <f t="shared" si="25"/>
        <v>1.9112300265982263E-2</v>
      </c>
      <c r="S118" s="2"/>
      <c r="T118" s="6">
        <v>10020.523999999999</v>
      </c>
      <c r="U118" s="2"/>
      <c r="V118" s="7">
        <f t="shared" si="26"/>
        <v>4.356031766939274E-3</v>
      </c>
      <c r="W118" s="2"/>
      <c r="X118" s="6">
        <f t="shared" si="27"/>
        <v>24870.516000000003</v>
      </c>
      <c r="Y118" s="2"/>
      <c r="Z118" s="7">
        <f t="shared" si="28"/>
        <v>2.4819576301598603</v>
      </c>
    </row>
    <row r="119" spans="1:26" s="24" customFormat="1" hidden="1" outlineLevel="2" x14ac:dyDescent="0.25">
      <c r="A119" s="27"/>
      <c r="B119" s="11" t="str">
        <f>CONCATENATE("          ", "6006", " - ", "TEMPORARY PART TIME")</f>
        <v xml:space="preserve">          6006 - TEMPORARY PART TIME</v>
      </c>
      <c r="C119" s="11"/>
      <c r="D119" s="6">
        <v>1927.34</v>
      </c>
      <c r="E119" s="2"/>
      <c r="F119" s="7">
        <f t="shared" si="21"/>
        <v>1.206160702943353E-3</v>
      </c>
      <c r="G119" s="2"/>
      <c r="H119" s="6">
        <v>0</v>
      </c>
      <c r="I119" s="2"/>
      <c r="J119" s="7">
        <f t="shared" si="22"/>
        <v>0</v>
      </c>
      <c r="K119" s="2"/>
      <c r="L119" s="6">
        <f t="shared" si="23"/>
        <v>1927.34</v>
      </c>
      <c r="M119" s="2"/>
      <c r="N119" s="7">
        <f t="shared" si="24"/>
        <v>0</v>
      </c>
      <c r="O119" s="11"/>
      <c r="P119" s="6">
        <v>3975.55</v>
      </c>
      <c r="Q119" s="2"/>
      <c r="R119" s="7">
        <f t="shared" si="25"/>
        <v>2.1776910439593026E-3</v>
      </c>
      <c r="S119" s="2"/>
      <c r="T119" s="6">
        <v>0</v>
      </c>
      <c r="U119" s="2"/>
      <c r="V119" s="7">
        <f t="shared" si="26"/>
        <v>0</v>
      </c>
      <c r="W119" s="2"/>
      <c r="X119" s="6">
        <f t="shared" si="27"/>
        <v>3975.55</v>
      </c>
      <c r="Y119" s="2"/>
      <c r="Z119" s="7">
        <f t="shared" si="28"/>
        <v>0</v>
      </c>
    </row>
    <row r="120" spans="1:26" s="24" customFormat="1" hidden="1" outlineLevel="2" x14ac:dyDescent="0.25">
      <c r="A120" s="27"/>
      <c r="B120" s="11" t="str">
        <f>CONCATENATE("          ", "6007", " - ", "STUDENT HOURLY")</f>
        <v xml:space="preserve">          6007 - STUDENT HOURLY</v>
      </c>
      <c r="C120" s="11"/>
      <c r="D120" s="6">
        <v>63484.290000000008</v>
      </c>
      <c r="E120" s="2"/>
      <c r="F120" s="7">
        <f t="shared" si="21"/>
        <v>3.9729500686054194E-2</v>
      </c>
      <c r="G120" s="2"/>
      <c r="H120" s="6">
        <v>74087.600000000006</v>
      </c>
      <c r="I120" s="2"/>
      <c r="J120" s="7">
        <f t="shared" si="22"/>
        <v>3.707460900007907E-2</v>
      </c>
      <c r="K120" s="2"/>
      <c r="L120" s="6">
        <f t="shared" si="23"/>
        <v>-10603.309999999998</v>
      </c>
      <c r="M120" s="2"/>
      <c r="N120" s="7">
        <f t="shared" si="24"/>
        <v>-0.14311855155248648</v>
      </c>
      <c r="O120" s="11"/>
      <c r="P120" s="6">
        <v>84852.32</v>
      </c>
      <c r="Q120" s="2"/>
      <c r="R120" s="7">
        <f t="shared" si="25"/>
        <v>4.6479641137243607E-2</v>
      </c>
      <c r="S120" s="2"/>
      <c r="T120" s="6">
        <v>137501.6</v>
      </c>
      <c r="U120" s="2"/>
      <c r="V120" s="7">
        <f t="shared" si="26"/>
        <v>5.9773454722026241E-2</v>
      </c>
      <c r="W120" s="2"/>
      <c r="X120" s="6">
        <f t="shared" si="27"/>
        <v>-52649.279999999999</v>
      </c>
      <c r="Y120" s="2"/>
      <c r="Z120" s="7">
        <f t="shared" si="28"/>
        <v>-0.38289939898881176</v>
      </c>
    </row>
    <row r="121" spans="1:26" s="24" customFormat="1" hidden="1" outlineLevel="2" x14ac:dyDescent="0.25">
      <c r="A121" s="27"/>
      <c r="B121" s="11" t="str">
        <f>CONCATENATE("          ", "6008", " - ", "STUDENT HOURLY-FICA EXEMPT")</f>
        <v xml:space="preserve">          6008 - STUDENT HOURLY-FICA EXEMPT</v>
      </c>
      <c r="C121" s="11"/>
      <c r="D121" s="6">
        <v>433.03</v>
      </c>
      <c r="E121" s="2"/>
      <c r="F121" s="7">
        <f t="shared" si="21"/>
        <v>2.7099721335911681E-4</v>
      </c>
      <c r="G121" s="2"/>
      <c r="H121" s="6">
        <v>46361.409999999996</v>
      </c>
      <c r="I121" s="2"/>
      <c r="J121" s="7">
        <f t="shared" si="22"/>
        <v>2.3199984186859281E-2</v>
      </c>
      <c r="K121" s="2"/>
      <c r="L121" s="6">
        <f t="shared" si="23"/>
        <v>-45928.38</v>
      </c>
      <c r="M121" s="2"/>
      <c r="N121" s="7">
        <f t="shared" si="24"/>
        <v>-0.99065968873681798</v>
      </c>
      <c r="O121" s="11"/>
      <c r="P121" s="6">
        <v>433.03</v>
      </c>
      <c r="Q121" s="2"/>
      <c r="R121" s="7">
        <f t="shared" si="25"/>
        <v>2.3720128102166913E-4</v>
      </c>
      <c r="S121" s="2"/>
      <c r="T121" s="6">
        <v>51380.160000000003</v>
      </c>
      <c r="U121" s="2"/>
      <c r="V121" s="7">
        <f t="shared" si="26"/>
        <v>2.233551949483107E-2</v>
      </c>
      <c r="W121" s="2"/>
      <c r="X121" s="6">
        <f t="shared" si="27"/>
        <v>-50947.130000000005</v>
      </c>
      <c r="Y121" s="2"/>
      <c r="Z121" s="7">
        <f t="shared" si="28"/>
        <v>-0.99157203870131971</v>
      </c>
    </row>
    <row r="122" spans="1:26" s="24" customFormat="1" hidden="1" outlineLevel="2" x14ac:dyDescent="0.25">
      <c r="A122" s="27"/>
      <c r="B122" s="11" t="str">
        <f>CONCATENATE("          ", "6009", " - ", "TEMPORARY-SEASONAL")</f>
        <v xml:space="preserve">          6009 - TEMPORARY-SEASONAL</v>
      </c>
      <c r="C122" s="11"/>
      <c r="D122" s="6"/>
      <c r="E122" s="2"/>
      <c r="F122" s="7">
        <f t="shared" si="21"/>
        <v>0</v>
      </c>
      <c r="G122" s="2"/>
      <c r="H122" s="6">
        <v>0</v>
      </c>
      <c r="I122" s="2"/>
      <c r="J122" s="7">
        <f t="shared" si="22"/>
        <v>0</v>
      </c>
      <c r="K122" s="2"/>
      <c r="L122" s="6">
        <f t="shared" si="23"/>
        <v>0</v>
      </c>
      <c r="M122" s="2"/>
      <c r="N122" s="7">
        <f t="shared" si="24"/>
        <v>0</v>
      </c>
      <c r="O122" s="11"/>
      <c r="P122" s="6"/>
      <c r="Q122" s="2"/>
      <c r="R122" s="7">
        <f t="shared" si="25"/>
        <v>0</v>
      </c>
      <c r="S122" s="2"/>
      <c r="T122" s="6">
        <v>0</v>
      </c>
      <c r="U122" s="2"/>
      <c r="V122" s="7">
        <f t="shared" si="26"/>
        <v>0</v>
      </c>
      <c r="W122" s="2"/>
      <c r="X122" s="6">
        <f t="shared" si="27"/>
        <v>0</v>
      </c>
      <c r="Y122" s="2"/>
      <c r="Z122" s="7">
        <f t="shared" si="28"/>
        <v>0</v>
      </c>
    </row>
    <row r="123" spans="1:26" s="24" customFormat="1" hidden="1" outlineLevel="2" x14ac:dyDescent="0.25">
      <c r="A123" s="27"/>
      <c r="B123" s="11" t="str">
        <f>CONCATENATE("          ", "6010", " - ", "GRATUITY")</f>
        <v xml:space="preserve">          6010 - GRATUITY</v>
      </c>
      <c r="C123" s="11"/>
      <c r="D123" s="6"/>
      <c r="E123" s="2"/>
      <c r="F123" s="7">
        <f t="shared" si="21"/>
        <v>0</v>
      </c>
      <c r="G123" s="2"/>
      <c r="H123" s="6">
        <v>0</v>
      </c>
      <c r="I123" s="2"/>
      <c r="J123" s="7">
        <f t="shared" si="22"/>
        <v>0</v>
      </c>
      <c r="K123" s="2"/>
      <c r="L123" s="6">
        <f t="shared" si="23"/>
        <v>0</v>
      </c>
      <c r="M123" s="2"/>
      <c r="N123" s="7">
        <f t="shared" si="24"/>
        <v>0</v>
      </c>
      <c r="O123" s="11"/>
      <c r="P123" s="6"/>
      <c r="Q123" s="2"/>
      <c r="R123" s="7">
        <f t="shared" si="25"/>
        <v>0</v>
      </c>
      <c r="S123" s="2"/>
      <c r="T123" s="6">
        <v>0</v>
      </c>
      <c r="U123" s="2"/>
      <c r="V123" s="7">
        <f t="shared" si="26"/>
        <v>0</v>
      </c>
      <c r="W123" s="2"/>
      <c r="X123" s="6">
        <f t="shared" si="27"/>
        <v>0</v>
      </c>
      <c r="Y123" s="2"/>
      <c r="Z123" s="7">
        <f t="shared" si="28"/>
        <v>0</v>
      </c>
    </row>
    <row r="124" spans="1:26" s="29" customFormat="1" outlineLevel="1" collapsed="1" x14ac:dyDescent="0.25">
      <c r="A124" s="28"/>
      <c r="B124" s="14" t="str">
        <f>CONCATENATE("     ","Advertising/Promo                                 ")</f>
        <v xml:space="preserve">     Advertising/Promo                                 </v>
      </c>
      <c r="C124" s="14"/>
      <c r="D124" s="1">
        <f>SUM(OSRRefD22_2x_0)</f>
        <v>9411.3700000000008</v>
      </c>
      <c r="E124" s="1"/>
      <c r="F124" s="5">
        <f t="shared" ref="F124:F128" si="29">IF(D$12=0,0,D124/D$12)</f>
        <v>5.8897883377400911E-3</v>
      </c>
      <c r="G124" s="1"/>
      <c r="H124" s="1">
        <f>SUM(OSRRefH22_2x_0)</f>
        <v>1860</v>
      </c>
      <c r="I124" s="1"/>
      <c r="J124" s="5">
        <f t="shared" ref="J124:J128" si="30">IF(H$12=0,0,H124/H$12)</f>
        <v>9.3077347275586026E-4</v>
      </c>
      <c r="K124" s="1"/>
      <c r="L124" s="1">
        <f t="shared" ref="L124:L128" si="31">+D124-H124</f>
        <v>7551.3700000000008</v>
      </c>
      <c r="M124" s="1"/>
      <c r="N124" s="5">
        <f t="shared" ref="N124:N128" si="32">IF(H124=0,0,L124/H124)</f>
        <v>4.0598763440860219</v>
      </c>
      <c r="O124" s="14"/>
      <c r="P124" s="1">
        <f>SUM(OSRRefP22_2x_0)</f>
        <v>12002.2</v>
      </c>
      <c r="Q124" s="1"/>
      <c r="R124" s="5">
        <f t="shared" ref="R124:R128" si="33">IF(P$12=0,0,P124/P$12)</f>
        <v>6.574457231781349E-3</v>
      </c>
      <c r="S124" s="1"/>
      <c r="T124" s="1">
        <f>SUM(OSRRefT22_2x_0)</f>
        <v>2740</v>
      </c>
      <c r="U124" s="1"/>
      <c r="V124" s="5">
        <f t="shared" ref="V124:V128" si="34">IF(T$12=0,0,T124/T$12)</f>
        <v>1.1911080739304262E-3</v>
      </c>
      <c r="W124" s="1"/>
      <c r="X124" s="1">
        <f t="shared" ref="X124:X128" si="35">+P124-T124</f>
        <v>9262.2000000000007</v>
      </c>
      <c r="Y124" s="1"/>
      <c r="Z124" s="5">
        <f t="shared" ref="Z124:Z128" si="36">IF(T124=0,0,X124/T124)</f>
        <v>3.3803649635036499</v>
      </c>
    </row>
    <row r="125" spans="1:26" s="24" customFormat="1" hidden="1" outlineLevel="2" x14ac:dyDescent="0.25">
      <c r="A125" s="27"/>
      <c r="B125" s="11" t="str">
        <f>CONCATENATE("          ", "6362", " - ", "ADVERTISING EXPENSE")</f>
        <v xml:space="preserve">          6362 - ADVERTISING EXPENSE</v>
      </c>
      <c r="C125" s="11"/>
      <c r="D125" s="6">
        <v>9411.3700000000008</v>
      </c>
      <c r="E125" s="2"/>
      <c r="F125" s="7">
        <f t="shared" si="29"/>
        <v>5.8897883377400911E-3</v>
      </c>
      <c r="G125" s="2"/>
      <c r="H125" s="6">
        <v>1860</v>
      </c>
      <c r="I125" s="2"/>
      <c r="J125" s="7">
        <f t="shared" si="30"/>
        <v>9.3077347275586026E-4</v>
      </c>
      <c r="K125" s="2"/>
      <c r="L125" s="6">
        <f t="shared" si="31"/>
        <v>7551.3700000000008</v>
      </c>
      <c r="M125" s="2"/>
      <c r="N125" s="7">
        <f t="shared" si="32"/>
        <v>4.0598763440860219</v>
      </c>
      <c r="O125" s="11"/>
      <c r="P125" s="6">
        <v>12002.2</v>
      </c>
      <c r="Q125" s="2"/>
      <c r="R125" s="7">
        <f t="shared" si="33"/>
        <v>6.574457231781349E-3</v>
      </c>
      <c r="S125" s="2"/>
      <c r="T125" s="6">
        <v>2740</v>
      </c>
      <c r="U125" s="2"/>
      <c r="V125" s="7">
        <f t="shared" si="34"/>
        <v>1.1911080739304262E-3</v>
      </c>
      <c r="W125" s="2"/>
      <c r="X125" s="6">
        <f t="shared" si="35"/>
        <v>9262.2000000000007</v>
      </c>
      <c r="Y125" s="2"/>
      <c r="Z125" s="7">
        <f t="shared" si="36"/>
        <v>3.3803649635036499</v>
      </c>
    </row>
    <row r="126" spans="1:26" s="29" customFormat="1" outlineLevel="1" collapsed="1" x14ac:dyDescent="0.25">
      <c r="A126" s="28"/>
      <c r="B126" s="14" t="str">
        <f>CONCATENATE("     ","Bad Debts/Over/Short                              ")</f>
        <v xml:space="preserve">     Bad Debts/Over/Short                              </v>
      </c>
      <c r="C126" s="14"/>
      <c r="D126" s="1">
        <f>SUM(OSRRefD22_3x_0)</f>
        <v>70.56</v>
      </c>
      <c r="E126" s="1"/>
      <c r="F126" s="5">
        <f t="shared" si="29"/>
        <v>4.4157595027178907E-5</v>
      </c>
      <c r="G126" s="1"/>
      <c r="H126" s="1">
        <f>SUM(OSRRefH22_3x_0)</f>
        <v>120</v>
      </c>
      <c r="I126" s="1"/>
      <c r="J126" s="5">
        <f t="shared" si="30"/>
        <v>6.0049901468120014E-5</v>
      </c>
      <c r="K126" s="1"/>
      <c r="L126" s="1">
        <f t="shared" si="31"/>
        <v>-49.44</v>
      </c>
      <c r="M126" s="1"/>
      <c r="N126" s="5">
        <f t="shared" si="32"/>
        <v>-0.41199999999999998</v>
      </c>
      <c r="O126" s="14"/>
      <c r="P126" s="1">
        <f>SUM(OSRRefP22_3x_0)</f>
        <v>75.540000000000006</v>
      </c>
      <c r="Q126" s="1"/>
      <c r="R126" s="5">
        <f t="shared" si="33"/>
        <v>4.1378622193328152E-5</v>
      </c>
      <c r="S126" s="1"/>
      <c r="T126" s="1">
        <f>SUM(OSRRefT22_3x_0)</f>
        <v>235</v>
      </c>
      <c r="U126" s="1"/>
      <c r="V126" s="5">
        <f t="shared" si="34"/>
        <v>1.0215707933344897E-4</v>
      </c>
      <c r="W126" s="1"/>
      <c r="X126" s="1">
        <f t="shared" si="35"/>
        <v>-159.45999999999998</v>
      </c>
      <c r="Y126" s="1"/>
      <c r="Z126" s="5">
        <f t="shared" si="36"/>
        <v>-0.67855319148936166</v>
      </c>
    </row>
    <row r="127" spans="1:26" s="24" customFormat="1" hidden="1" outlineLevel="2" x14ac:dyDescent="0.25">
      <c r="A127" s="27"/>
      <c r="B127" s="11" t="str">
        <f>CONCATENATE("          ", "6272", " - ", "CASH (OVER/SHORT)")</f>
        <v xml:space="preserve">          6272 - CASH (OVER/SHORT)</v>
      </c>
      <c r="C127" s="11"/>
      <c r="D127" s="6">
        <v>70.56</v>
      </c>
      <c r="E127" s="2"/>
      <c r="F127" s="7">
        <f t="shared" si="29"/>
        <v>4.4157595027178907E-5</v>
      </c>
      <c r="G127" s="2"/>
      <c r="H127" s="6">
        <v>70</v>
      </c>
      <c r="I127" s="2"/>
      <c r="J127" s="7">
        <f t="shared" si="30"/>
        <v>3.5029109189736672E-5</v>
      </c>
      <c r="K127" s="2"/>
      <c r="L127" s="6">
        <f t="shared" si="31"/>
        <v>0.56000000000000227</v>
      </c>
      <c r="M127" s="2"/>
      <c r="N127" s="7">
        <f t="shared" si="32"/>
        <v>8.0000000000000331E-3</v>
      </c>
      <c r="O127" s="11"/>
      <c r="P127" s="6">
        <v>75.540000000000006</v>
      </c>
      <c r="Q127" s="2"/>
      <c r="R127" s="7">
        <f t="shared" si="33"/>
        <v>4.1378622193328152E-5</v>
      </c>
      <c r="S127" s="2"/>
      <c r="T127" s="6">
        <v>135</v>
      </c>
      <c r="U127" s="2"/>
      <c r="V127" s="7">
        <f t="shared" si="34"/>
        <v>5.8685981744747276E-5</v>
      </c>
      <c r="W127" s="2"/>
      <c r="X127" s="6">
        <f t="shared" si="35"/>
        <v>-59.459999999999994</v>
      </c>
      <c r="Y127" s="2"/>
      <c r="Z127" s="7">
        <f t="shared" si="36"/>
        <v>-0.44044444444444442</v>
      </c>
    </row>
    <row r="128" spans="1:26" s="24" customFormat="1" hidden="1" outlineLevel="2" x14ac:dyDescent="0.25">
      <c r="A128" s="27"/>
      <c r="B128" s="11" t="str">
        <f>CONCATENATE("          ", "6342", " - ", "BAD DEBT")</f>
        <v xml:space="preserve">          6342 - BAD DEBT</v>
      </c>
      <c r="C128" s="11"/>
      <c r="D128" s="6"/>
      <c r="E128" s="2"/>
      <c r="F128" s="7">
        <f t="shared" si="29"/>
        <v>0</v>
      </c>
      <c r="G128" s="2"/>
      <c r="H128" s="6">
        <v>50</v>
      </c>
      <c r="I128" s="2"/>
      <c r="J128" s="7">
        <f t="shared" si="30"/>
        <v>2.5020792278383339E-5</v>
      </c>
      <c r="K128" s="2"/>
      <c r="L128" s="6">
        <f t="shared" si="31"/>
        <v>-50</v>
      </c>
      <c r="M128" s="2"/>
      <c r="N128" s="7">
        <f t="shared" si="32"/>
        <v>-1</v>
      </c>
      <c r="O128" s="11"/>
      <c r="P128" s="6"/>
      <c r="Q128" s="2"/>
      <c r="R128" s="7">
        <f t="shared" si="33"/>
        <v>0</v>
      </c>
      <c r="S128" s="2"/>
      <c r="T128" s="6">
        <v>100</v>
      </c>
      <c r="U128" s="2"/>
      <c r="V128" s="7">
        <f t="shared" si="34"/>
        <v>4.3471097588701691E-5</v>
      </c>
      <c r="W128" s="2"/>
      <c r="X128" s="6">
        <f t="shared" si="35"/>
        <v>-100</v>
      </c>
      <c r="Y128" s="2"/>
      <c r="Z128" s="7">
        <f t="shared" si="36"/>
        <v>-1</v>
      </c>
    </row>
    <row r="129" spans="1:26" s="29" customFormat="1" outlineLevel="1" collapsed="1" x14ac:dyDescent="0.25">
      <c r="A129" s="28"/>
      <c r="B129" s="14" t="str">
        <f>CONCATENATE("     ","Bank/card Fees                                    ")</f>
        <v xml:space="preserve">     Bank/card Fees                                    </v>
      </c>
      <c r="C129" s="14"/>
      <c r="D129" s="1">
        <f>SUM(OSRRefD22_4x_0)</f>
        <v>22140.34</v>
      </c>
      <c r="E129" s="1"/>
      <c r="F129" s="5">
        <f t="shared" ref="F129:F133" si="37">IF(D$12=0,0,D129/D$12)</f>
        <v>1.3855784686565339E-2</v>
      </c>
      <c r="G129" s="1"/>
      <c r="H129" s="1">
        <f>SUM(OSRRefH22_4x_0)</f>
        <v>35023</v>
      </c>
      <c r="I129" s="1"/>
      <c r="J129" s="5">
        <f t="shared" ref="J129:J133" si="38">IF(H$12=0,0,H129/H$12)</f>
        <v>1.7526064159316394E-2</v>
      </c>
      <c r="K129" s="1"/>
      <c r="L129" s="1">
        <f t="shared" ref="L129:L133" si="39">+D129-H129</f>
        <v>-12882.66</v>
      </c>
      <c r="M129" s="1"/>
      <c r="N129" s="5">
        <f t="shared" ref="N129:N133" si="40">IF(H129=0,0,L129/H129)</f>
        <v>-0.36783428033006882</v>
      </c>
      <c r="O129" s="14"/>
      <c r="P129" s="1">
        <f>SUM(OSRRefP22_4x_0)</f>
        <v>25317.550000000003</v>
      </c>
      <c r="Q129" s="1"/>
      <c r="R129" s="5">
        <f t="shared" ref="R129:R133" si="41">IF(P$12=0,0,P129/P$12)</f>
        <v>1.3868219967046532E-2</v>
      </c>
      <c r="S129" s="1"/>
      <c r="T129" s="1">
        <f>SUM(OSRRefT22_4x_0)</f>
        <v>40032</v>
      </c>
      <c r="U129" s="1"/>
      <c r="V129" s="5">
        <f t="shared" ref="V129:V133" si="42">IF(T$12=0,0,T129/T$12)</f>
        <v>1.740234978670906E-2</v>
      </c>
      <c r="W129" s="1"/>
      <c r="X129" s="1">
        <f t="shared" ref="X129:X133" si="43">+P129-T129</f>
        <v>-14714.449999999997</v>
      </c>
      <c r="Y129" s="1"/>
      <c r="Z129" s="5">
        <f t="shared" ref="Z129:Z133" si="44">IF(T129=0,0,X129/T129)</f>
        <v>-0.36756719624300555</v>
      </c>
    </row>
    <row r="130" spans="1:26" s="24" customFormat="1" hidden="1" outlineLevel="2" x14ac:dyDescent="0.25">
      <c r="A130" s="27"/>
      <c r="B130" s="11" t="str">
        <f>CONCATENATE("          ", "6381", " - ", "BANK/CREDIT CARD FEES")</f>
        <v xml:space="preserve">          6381 - BANK/CREDIT CARD FEES</v>
      </c>
      <c r="C130" s="11"/>
      <c r="D130" s="6">
        <v>22140.34</v>
      </c>
      <c r="E130" s="2"/>
      <c r="F130" s="7">
        <f t="shared" si="37"/>
        <v>1.3855784686565339E-2</v>
      </c>
      <c r="G130" s="2"/>
      <c r="H130" s="6">
        <v>35023</v>
      </c>
      <c r="I130" s="2"/>
      <c r="J130" s="7">
        <f t="shared" si="38"/>
        <v>1.7526064159316394E-2</v>
      </c>
      <c r="K130" s="2"/>
      <c r="L130" s="6">
        <f t="shared" si="39"/>
        <v>-12882.66</v>
      </c>
      <c r="M130" s="2"/>
      <c r="N130" s="7">
        <f t="shared" si="40"/>
        <v>-0.36783428033006882</v>
      </c>
      <c r="O130" s="11"/>
      <c r="P130" s="6">
        <v>25317.550000000003</v>
      </c>
      <c r="Q130" s="2"/>
      <c r="R130" s="7">
        <f t="shared" si="41"/>
        <v>1.3868219967046532E-2</v>
      </c>
      <c r="S130" s="2"/>
      <c r="T130" s="6">
        <v>40032</v>
      </c>
      <c r="U130" s="2"/>
      <c r="V130" s="7">
        <f t="shared" si="42"/>
        <v>1.740234978670906E-2</v>
      </c>
      <c r="W130" s="2"/>
      <c r="X130" s="6">
        <f t="shared" si="43"/>
        <v>-14714.449999999997</v>
      </c>
      <c r="Y130" s="2"/>
      <c r="Z130" s="7">
        <f t="shared" si="44"/>
        <v>-0.36756719624300555</v>
      </c>
    </row>
    <row r="131" spans="1:26" s="29" customFormat="1" outlineLevel="1" collapsed="1" x14ac:dyDescent="0.25">
      <c r="A131" s="28"/>
      <c r="B131" s="14" t="str">
        <f>CONCATENATE("     ","Depreciation                                      ")</f>
        <v xml:space="preserve">     Depreciation                                      </v>
      </c>
      <c r="C131" s="14"/>
      <c r="D131" s="1">
        <f>SUM(OSRRefD22_5x_0)</f>
        <v>40361.32</v>
      </c>
      <c r="E131" s="1"/>
      <c r="F131" s="5">
        <f t="shared" si="37"/>
        <v>2.5258770171802392E-2</v>
      </c>
      <c r="G131" s="1"/>
      <c r="H131" s="1">
        <f>SUM(OSRRefH22_5x_0)</f>
        <v>39305</v>
      </c>
      <c r="I131" s="1"/>
      <c r="J131" s="5">
        <f t="shared" si="38"/>
        <v>1.9668844810037143E-2</v>
      </c>
      <c r="K131" s="1"/>
      <c r="L131" s="1">
        <f t="shared" si="39"/>
        <v>1056.3199999999997</v>
      </c>
      <c r="M131" s="1"/>
      <c r="N131" s="5">
        <f t="shared" si="40"/>
        <v>2.6874952296145522E-2</v>
      </c>
      <c r="O131" s="14"/>
      <c r="P131" s="1">
        <f>SUM(OSRRefP22_5x_0)</f>
        <v>79698.91</v>
      </c>
      <c r="Q131" s="1"/>
      <c r="R131" s="5">
        <f t="shared" si="41"/>
        <v>4.3656752529918755E-2</v>
      </c>
      <c r="S131" s="1"/>
      <c r="T131" s="1">
        <f>SUM(OSRRefT22_5x_0)</f>
        <v>78610</v>
      </c>
      <c r="U131" s="1"/>
      <c r="V131" s="5">
        <f t="shared" si="42"/>
        <v>3.4172629814478397E-2</v>
      </c>
      <c r="W131" s="1"/>
      <c r="X131" s="1">
        <f t="shared" si="43"/>
        <v>1088.9100000000035</v>
      </c>
      <c r="Y131" s="1"/>
      <c r="Z131" s="5">
        <f t="shared" si="44"/>
        <v>1.3852054445999282E-2</v>
      </c>
    </row>
    <row r="132" spans="1:26" s="24" customFormat="1" hidden="1" outlineLevel="2" x14ac:dyDescent="0.25">
      <c r="A132" s="27"/>
      <c r="B132" s="11" t="str">
        <f>CONCATENATE("          ", "6321", " - ", "BUILDING DEPRECIATION")</f>
        <v xml:space="preserve">          6321 - BUILDING DEPRECIATION</v>
      </c>
      <c r="C132" s="11"/>
      <c r="D132" s="6">
        <v>21477.030000000002</v>
      </c>
      <c r="E132" s="2"/>
      <c r="F132" s="7">
        <f t="shared" si="37"/>
        <v>1.3440674505762079E-2</v>
      </c>
      <c r="G132" s="2"/>
      <c r="H132" s="6"/>
      <c r="I132" s="2"/>
      <c r="J132" s="7">
        <f t="shared" si="38"/>
        <v>0</v>
      </c>
      <c r="K132" s="2"/>
      <c r="L132" s="6">
        <f t="shared" si="39"/>
        <v>21477.030000000002</v>
      </c>
      <c r="M132" s="2"/>
      <c r="N132" s="7">
        <f t="shared" si="40"/>
        <v>0</v>
      </c>
      <c r="O132" s="11"/>
      <c r="P132" s="6">
        <v>42954.060000000005</v>
      </c>
      <c r="Q132" s="2"/>
      <c r="R132" s="7">
        <f t="shared" si="41"/>
        <v>2.3528988885485162E-2</v>
      </c>
      <c r="S132" s="2"/>
      <c r="T132" s="6"/>
      <c r="U132" s="2"/>
      <c r="V132" s="7">
        <f t="shared" si="42"/>
        <v>0</v>
      </c>
      <c r="W132" s="2"/>
      <c r="X132" s="6">
        <f t="shared" si="43"/>
        <v>42954.060000000005</v>
      </c>
      <c r="Y132" s="2"/>
      <c r="Z132" s="7">
        <f t="shared" si="44"/>
        <v>0</v>
      </c>
    </row>
    <row r="133" spans="1:26" s="24" customFormat="1" hidden="1" outlineLevel="2" x14ac:dyDescent="0.25">
      <c r="A133" s="27"/>
      <c r="B133" s="11" t="str">
        <f>CONCATENATE("          ", "6322", " - ", "EQUIPMENT DEPRECIATION EXPENSE")</f>
        <v xml:space="preserve">          6322 - EQUIPMENT DEPRECIATION EXPENSE</v>
      </c>
      <c r="C133" s="11"/>
      <c r="D133" s="6">
        <v>18884.289999999997</v>
      </c>
      <c r="E133" s="2"/>
      <c r="F133" s="7">
        <f t="shared" si="37"/>
        <v>1.181809566604031E-2</v>
      </c>
      <c r="G133" s="2"/>
      <c r="H133" s="6">
        <v>39305</v>
      </c>
      <c r="I133" s="2"/>
      <c r="J133" s="7">
        <f t="shared" si="38"/>
        <v>1.9668844810037143E-2</v>
      </c>
      <c r="K133" s="2"/>
      <c r="L133" s="6">
        <f t="shared" si="39"/>
        <v>-20420.710000000003</v>
      </c>
      <c r="M133" s="2"/>
      <c r="N133" s="7">
        <f t="shared" si="40"/>
        <v>-0.51954484162320325</v>
      </c>
      <c r="O133" s="11"/>
      <c r="P133" s="6">
        <v>36744.85</v>
      </c>
      <c r="Q133" s="2"/>
      <c r="R133" s="7">
        <f t="shared" si="41"/>
        <v>2.0127763644433593E-2</v>
      </c>
      <c r="S133" s="2"/>
      <c r="T133" s="6">
        <v>78610</v>
      </c>
      <c r="U133" s="2"/>
      <c r="V133" s="7">
        <f t="shared" si="42"/>
        <v>3.4172629814478397E-2</v>
      </c>
      <c r="W133" s="2"/>
      <c r="X133" s="6">
        <f t="shared" si="43"/>
        <v>-41865.15</v>
      </c>
      <c r="Y133" s="2"/>
      <c r="Z133" s="7">
        <f t="shared" si="44"/>
        <v>-0.53256773947334946</v>
      </c>
    </row>
    <row r="134" spans="1:26" s="29" customFormat="1" outlineLevel="1" collapsed="1" x14ac:dyDescent="0.25">
      <c r="A134" s="28"/>
      <c r="B134" s="14" t="str">
        <f>CONCATENATE("     ","Discounts and Markdowns                           ")</f>
        <v xml:space="preserve">     Discounts and Markdowns                           </v>
      </c>
      <c r="C134" s="14"/>
      <c r="D134" s="1">
        <f>SUM(OSRRefD22_6x_0)</f>
        <v>0</v>
      </c>
      <c r="E134" s="1"/>
      <c r="F134" s="5">
        <f t="shared" ref="F134:F138" si="45">IF(D$12=0,0,D134/D$12)</f>
        <v>0</v>
      </c>
      <c r="G134" s="1"/>
      <c r="H134" s="1">
        <f>SUM(OSRRefH22_6x_0)</f>
        <v>33948</v>
      </c>
      <c r="I134" s="1"/>
      <c r="J134" s="5">
        <f t="shared" ref="J134:J138" si="46">IF(H$12=0,0,H134/H$12)</f>
        <v>1.6988117125331152E-2</v>
      </c>
      <c r="K134" s="1"/>
      <c r="L134" s="1">
        <f t="shared" ref="L134:L138" si="47">+D134-H134</f>
        <v>-33948</v>
      </c>
      <c r="M134" s="1"/>
      <c r="N134" s="5">
        <f t="shared" ref="N134:N138" si="48">IF(H134=0,0,L134/H134)</f>
        <v>-1</v>
      </c>
      <c r="O134" s="14"/>
      <c r="P134" s="1">
        <f>SUM(OSRRefP22_6x_0)</f>
        <v>0</v>
      </c>
      <c r="Q134" s="1"/>
      <c r="R134" s="5">
        <f t="shared" ref="R134:R138" si="49">IF(P$12=0,0,P134/P$12)</f>
        <v>0</v>
      </c>
      <c r="S134" s="1"/>
      <c r="T134" s="1">
        <f>SUM(OSRRefT22_6x_0)</f>
        <v>53467</v>
      </c>
      <c r="U134" s="1"/>
      <c r="V134" s="5">
        <f t="shared" ref="V134:V138" si="50">IF(T$12=0,0,T134/T$12)</f>
        <v>2.3242691747751131E-2</v>
      </c>
      <c r="W134" s="1"/>
      <c r="X134" s="1">
        <f t="shared" ref="X134:X138" si="51">+P134-T134</f>
        <v>-53467</v>
      </c>
      <c r="Y134" s="1"/>
      <c r="Z134" s="5">
        <f t="shared" ref="Z134:Z138" si="52">IF(T134=0,0,X134/T134)</f>
        <v>-1</v>
      </c>
    </row>
    <row r="135" spans="1:26" s="24" customFormat="1" hidden="1" outlineLevel="2" x14ac:dyDescent="0.25">
      <c r="A135" s="27"/>
      <c r="B135" s="11" t="str">
        <f>CONCATENATE("          ", "6382", " - ", "DISCOUNTS/MARK DOWNS")</f>
        <v xml:space="preserve">          6382 - DISCOUNTS/MARK DOWNS</v>
      </c>
      <c r="C135" s="11"/>
      <c r="D135" s="6"/>
      <c r="E135" s="2"/>
      <c r="F135" s="7">
        <f t="shared" si="45"/>
        <v>0</v>
      </c>
      <c r="G135" s="2"/>
      <c r="H135" s="6">
        <v>33948</v>
      </c>
      <c r="I135" s="2"/>
      <c r="J135" s="7">
        <f t="shared" si="46"/>
        <v>1.6988117125331152E-2</v>
      </c>
      <c r="K135" s="2"/>
      <c r="L135" s="6">
        <f t="shared" si="47"/>
        <v>-33948</v>
      </c>
      <c r="M135" s="2"/>
      <c r="N135" s="7">
        <f t="shared" si="48"/>
        <v>-1</v>
      </c>
      <c r="O135" s="11"/>
      <c r="P135" s="6"/>
      <c r="Q135" s="2"/>
      <c r="R135" s="7">
        <f t="shared" si="49"/>
        <v>0</v>
      </c>
      <c r="S135" s="2"/>
      <c r="T135" s="6">
        <v>53467</v>
      </c>
      <c r="U135" s="2"/>
      <c r="V135" s="7">
        <f t="shared" si="50"/>
        <v>2.3242691747751131E-2</v>
      </c>
      <c r="W135" s="2"/>
      <c r="X135" s="6">
        <f t="shared" si="51"/>
        <v>-53467</v>
      </c>
      <c r="Y135" s="2"/>
      <c r="Z135" s="7">
        <f t="shared" si="52"/>
        <v>-1</v>
      </c>
    </row>
    <row r="136" spans="1:26" s="29" customFormat="1" outlineLevel="1" collapsed="1" x14ac:dyDescent="0.25">
      <c r="A136" s="28"/>
      <c r="B136" s="14" t="str">
        <f>CONCATENATE("     ","Donations                                         ")</f>
        <v xml:space="preserve">     Donations                                         </v>
      </c>
      <c r="C136" s="14"/>
      <c r="D136" s="1">
        <f>SUM(OSRRefD22_7x_0)</f>
        <v>0</v>
      </c>
      <c r="E136" s="1"/>
      <c r="F136" s="5">
        <f t="shared" si="45"/>
        <v>0</v>
      </c>
      <c r="G136" s="1"/>
      <c r="H136" s="1">
        <f>SUM(OSRRefH22_7x_0)</f>
        <v>1000</v>
      </c>
      <c r="I136" s="1"/>
      <c r="J136" s="5">
        <f t="shared" si="46"/>
        <v>5.0041584556766681E-4</v>
      </c>
      <c r="K136" s="1"/>
      <c r="L136" s="1">
        <f t="shared" si="47"/>
        <v>-1000</v>
      </c>
      <c r="M136" s="1"/>
      <c r="N136" s="5">
        <f t="shared" si="48"/>
        <v>-1</v>
      </c>
      <c r="O136" s="14"/>
      <c r="P136" s="1">
        <f>SUM(OSRRefP22_7x_0)</f>
        <v>0</v>
      </c>
      <c r="Q136" s="1"/>
      <c r="R136" s="5">
        <f t="shared" si="49"/>
        <v>0</v>
      </c>
      <c r="S136" s="1"/>
      <c r="T136" s="1">
        <f>SUM(OSRRefT22_7x_0)</f>
        <v>2000</v>
      </c>
      <c r="U136" s="1"/>
      <c r="V136" s="5">
        <f t="shared" si="50"/>
        <v>8.6942195177403371E-4</v>
      </c>
      <c r="W136" s="1"/>
      <c r="X136" s="1">
        <f t="shared" si="51"/>
        <v>-2000</v>
      </c>
      <c r="Y136" s="1"/>
      <c r="Z136" s="5">
        <f t="shared" si="52"/>
        <v>-1</v>
      </c>
    </row>
    <row r="137" spans="1:26" s="24" customFormat="1" hidden="1" outlineLevel="2" x14ac:dyDescent="0.25">
      <c r="A137" s="27"/>
      <c r="B137" s="11" t="str">
        <f>CONCATENATE("          ", "6395", " - ", "DONATION-OFF CAMPUS")</f>
        <v xml:space="preserve">          6395 - DONATION-OFF CAMPUS</v>
      </c>
      <c r="C137" s="11"/>
      <c r="D137" s="6"/>
      <c r="E137" s="2"/>
      <c r="F137" s="7">
        <f t="shared" si="45"/>
        <v>0</v>
      </c>
      <c r="G137" s="2"/>
      <c r="H137" s="6"/>
      <c r="I137" s="2"/>
      <c r="J137" s="7">
        <f t="shared" si="46"/>
        <v>0</v>
      </c>
      <c r="K137" s="2"/>
      <c r="L137" s="6">
        <f t="shared" si="47"/>
        <v>0</v>
      </c>
      <c r="M137" s="2"/>
      <c r="N137" s="7">
        <f t="shared" si="48"/>
        <v>0</v>
      </c>
      <c r="O137" s="11"/>
      <c r="P137" s="6"/>
      <c r="Q137" s="2"/>
      <c r="R137" s="7">
        <f t="shared" si="49"/>
        <v>0</v>
      </c>
      <c r="S137" s="2"/>
      <c r="T137" s="6">
        <v>0</v>
      </c>
      <c r="U137" s="2"/>
      <c r="V137" s="7">
        <f t="shared" si="50"/>
        <v>0</v>
      </c>
      <c r="W137" s="2"/>
      <c r="X137" s="6">
        <f t="shared" si="51"/>
        <v>0</v>
      </c>
      <c r="Y137" s="2"/>
      <c r="Z137" s="7">
        <f t="shared" si="52"/>
        <v>0</v>
      </c>
    </row>
    <row r="138" spans="1:26" s="24" customFormat="1" hidden="1" outlineLevel="2" x14ac:dyDescent="0.25">
      <c r="A138" s="27"/>
      <c r="B138" s="11" t="str">
        <f>CONCATENATE("          ", "6399", " - ", "DONATION-ON CAMPUS")</f>
        <v xml:space="preserve">          6399 - DONATION-ON CAMPUS</v>
      </c>
      <c r="C138" s="11"/>
      <c r="D138" s="6"/>
      <c r="E138" s="2"/>
      <c r="F138" s="7">
        <f t="shared" si="45"/>
        <v>0</v>
      </c>
      <c r="G138" s="2"/>
      <c r="H138" s="6">
        <v>1000</v>
      </c>
      <c r="I138" s="2"/>
      <c r="J138" s="7">
        <f t="shared" si="46"/>
        <v>5.0041584556766681E-4</v>
      </c>
      <c r="K138" s="2"/>
      <c r="L138" s="6">
        <f t="shared" si="47"/>
        <v>-1000</v>
      </c>
      <c r="M138" s="2"/>
      <c r="N138" s="7">
        <f t="shared" si="48"/>
        <v>-1</v>
      </c>
      <c r="O138" s="11"/>
      <c r="P138" s="6"/>
      <c r="Q138" s="2"/>
      <c r="R138" s="7">
        <f t="shared" si="49"/>
        <v>0</v>
      </c>
      <c r="S138" s="2"/>
      <c r="T138" s="6">
        <v>2000</v>
      </c>
      <c r="U138" s="2"/>
      <c r="V138" s="7">
        <f t="shared" si="50"/>
        <v>8.6942195177403371E-4</v>
      </c>
      <c r="W138" s="2"/>
      <c r="X138" s="6">
        <f t="shared" si="51"/>
        <v>-2000</v>
      </c>
      <c r="Y138" s="2"/>
      <c r="Z138" s="7">
        <f t="shared" si="52"/>
        <v>-1</v>
      </c>
    </row>
    <row r="139" spans="1:26" s="29" customFormat="1" outlineLevel="1" collapsed="1" x14ac:dyDescent="0.25">
      <c r="A139" s="28"/>
      <c r="B139" s="14" t="str">
        <f>CONCATENATE("     ","Employees' Appreciation                           ")</f>
        <v xml:space="preserve">     Employees' Appreciation                           </v>
      </c>
      <c r="C139" s="14"/>
      <c r="D139" s="1">
        <f>SUM(OSRRefD22_8x_0)</f>
        <v>0</v>
      </c>
      <c r="E139" s="1"/>
      <c r="F139" s="5">
        <f t="shared" ref="F139:F145" si="53">IF(D$12=0,0,D139/D$12)</f>
        <v>0</v>
      </c>
      <c r="G139" s="1"/>
      <c r="H139" s="1">
        <f>SUM(OSRRefH22_8x_0)</f>
        <v>425</v>
      </c>
      <c r="I139" s="1"/>
      <c r="J139" s="5">
        <f t="shared" ref="J139:J145" si="54">IF(H$12=0,0,H139/H$12)</f>
        <v>2.1267673436625839E-4</v>
      </c>
      <c r="K139" s="1"/>
      <c r="L139" s="1">
        <f t="shared" ref="L139:L145" si="55">+D139-H139</f>
        <v>-425</v>
      </c>
      <c r="M139" s="1"/>
      <c r="N139" s="5">
        <f t="shared" ref="N139:N145" si="56">IF(H139=0,0,L139/H139)</f>
        <v>-1</v>
      </c>
      <c r="O139" s="14"/>
      <c r="P139" s="1">
        <f>SUM(OSRRefP22_8x_0)</f>
        <v>107.7</v>
      </c>
      <c r="Q139" s="1"/>
      <c r="R139" s="5">
        <f t="shared" ref="R139:R145" si="57">IF(P$12=0,0,P139/P$12)</f>
        <v>5.8994937916619558E-5</v>
      </c>
      <c r="S139" s="1"/>
      <c r="T139" s="1">
        <f>SUM(OSRRefT22_8x_0)</f>
        <v>850</v>
      </c>
      <c r="U139" s="1"/>
      <c r="V139" s="5">
        <f t="shared" ref="V139:V145" si="58">IF(T$12=0,0,T139/T$12)</f>
        <v>3.6950432950396436E-4</v>
      </c>
      <c r="W139" s="1"/>
      <c r="X139" s="1">
        <f t="shared" ref="X139:X145" si="59">+P139-T139</f>
        <v>-742.3</v>
      </c>
      <c r="Y139" s="1"/>
      <c r="Z139" s="5">
        <f t="shared" ref="Z139:Z145" si="60">IF(T139=0,0,X139/T139)</f>
        <v>-0.87329411764705878</v>
      </c>
    </row>
    <row r="140" spans="1:26" s="24" customFormat="1" hidden="1" outlineLevel="2" x14ac:dyDescent="0.25">
      <c r="A140" s="27"/>
      <c r="B140" s="11" t="str">
        <f>CONCATENATE("          ", "6277", " - ", "EMPLOYEE APPRECIATION")</f>
        <v xml:space="preserve">          6277 - EMPLOYEE APPRECIATION</v>
      </c>
      <c r="C140" s="11"/>
      <c r="D140" s="6"/>
      <c r="E140" s="2"/>
      <c r="F140" s="7">
        <f t="shared" si="53"/>
        <v>0</v>
      </c>
      <c r="G140" s="2"/>
      <c r="H140" s="6">
        <v>425</v>
      </c>
      <c r="I140" s="2"/>
      <c r="J140" s="7">
        <f t="shared" si="54"/>
        <v>2.1267673436625839E-4</v>
      </c>
      <c r="K140" s="2"/>
      <c r="L140" s="6">
        <f t="shared" si="55"/>
        <v>-425</v>
      </c>
      <c r="M140" s="2"/>
      <c r="N140" s="7">
        <f t="shared" si="56"/>
        <v>-1</v>
      </c>
      <c r="O140" s="11"/>
      <c r="P140" s="6">
        <v>107.7</v>
      </c>
      <c r="Q140" s="2"/>
      <c r="R140" s="7">
        <f t="shared" si="57"/>
        <v>5.8994937916619558E-5</v>
      </c>
      <c r="S140" s="2"/>
      <c r="T140" s="6">
        <v>850</v>
      </c>
      <c r="U140" s="2"/>
      <c r="V140" s="7">
        <f t="shared" si="58"/>
        <v>3.6950432950396436E-4</v>
      </c>
      <c r="W140" s="2"/>
      <c r="X140" s="6">
        <f t="shared" si="59"/>
        <v>-742.3</v>
      </c>
      <c r="Y140" s="2"/>
      <c r="Z140" s="7">
        <f t="shared" si="60"/>
        <v>-0.87329411764705878</v>
      </c>
    </row>
    <row r="141" spans="1:26" s="29" customFormat="1" outlineLevel="1" collapsed="1" x14ac:dyDescent="0.25">
      <c r="A141" s="28"/>
      <c r="B141" s="14" t="str">
        <f>CONCATENATE("     ","Equipment Rental                                  ")</f>
        <v xml:space="preserve">     Equipment Rental                                  </v>
      </c>
      <c r="C141" s="14"/>
      <c r="D141" s="1">
        <f>SUM(OSRRefD22_9x_0)</f>
        <v>1388.16</v>
      </c>
      <c r="E141" s="1"/>
      <c r="F141" s="5">
        <f t="shared" si="53"/>
        <v>8.6873309400409119E-4</v>
      </c>
      <c r="G141" s="1"/>
      <c r="H141" s="1">
        <f>SUM(OSRRefH22_9x_0)</f>
        <v>3006</v>
      </c>
      <c r="I141" s="1"/>
      <c r="J141" s="5">
        <f t="shared" si="54"/>
        <v>1.5042500317764063E-3</v>
      </c>
      <c r="K141" s="1"/>
      <c r="L141" s="1">
        <f t="shared" si="55"/>
        <v>-1617.84</v>
      </c>
      <c r="M141" s="1"/>
      <c r="N141" s="5">
        <f t="shared" si="56"/>
        <v>-0.53820359281437125</v>
      </c>
      <c r="O141" s="14"/>
      <c r="P141" s="1">
        <f>SUM(OSRRefP22_9x_0)</f>
        <v>2776.32</v>
      </c>
      <c r="Q141" s="1"/>
      <c r="R141" s="5">
        <f t="shared" si="57"/>
        <v>1.5207876140823512E-3</v>
      </c>
      <c r="S141" s="1"/>
      <c r="T141" s="1">
        <f>SUM(OSRRefT22_9x_0)</f>
        <v>6012</v>
      </c>
      <c r="U141" s="1"/>
      <c r="V141" s="5">
        <f t="shared" si="58"/>
        <v>2.6134823870327456E-3</v>
      </c>
      <c r="W141" s="1"/>
      <c r="X141" s="1">
        <f t="shared" si="59"/>
        <v>-3235.68</v>
      </c>
      <c r="Y141" s="1"/>
      <c r="Z141" s="5">
        <f t="shared" si="60"/>
        <v>-0.53820359281437125</v>
      </c>
    </row>
    <row r="142" spans="1:26" s="24" customFormat="1" hidden="1" outlineLevel="2" x14ac:dyDescent="0.25">
      <c r="A142" s="27"/>
      <c r="B142" s="11" t="str">
        <f>CONCATENATE("          ", "6351", " - ", "EQUIPMENT RENTAL")</f>
        <v xml:space="preserve">          6351 - EQUIPMENT RENTAL</v>
      </c>
      <c r="C142" s="11"/>
      <c r="D142" s="6">
        <v>1388.16</v>
      </c>
      <c r="E142" s="2"/>
      <c r="F142" s="7">
        <f t="shared" si="53"/>
        <v>8.6873309400409119E-4</v>
      </c>
      <c r="G142" s="2"/>
      <c r="H142" s="6">
        <v>3006</v>
      </c>
      <c r="I142" s="2"/>
      <c r="J142" s="7">
        <f t="shared" si="54"/>
        <v>1.5042500317764063E-3</v>
      </c>
      <c r="K142" s="2"/>
      <c r="L142" s="6">
        <f t="shared" si="55"/>
        <v>-1617.84</v>
      </c>
      <c r="M142" s="2"/>
      <c r="N142" s="7">
        <f t="shared" si="56"/>
        <v>-0.53820359281437125</v>
      </c>
      <c r="O142" s="11"/>
      <c r="P142" s="6">
        <v>2776.32</v>
      </c>
      <c r="Q142" s="2"/>
      <c r="R142" s="7">
        <f t="shared" si="57"/>
        <v>1.5207876140823512E-3</v>
      </c>
      <c r="S142" s="2"/>
      <c r="T142" s="6">
        <v>6012</v>
      </c>
      <c r="U142" s="2"/>
      <c r="V142" s="7">
        <f t="shared" si="58"/>
        <v>2.6134823870327456E-3</v>
      </c>
      <c r="W142" s="2"/>
      <c r="X142" s="6">
        <f t="shared" si="59"/>
        <v>-3235.68</v>
      </c>
      <c r="Y142" s="2"/>
      <c r="Z142" s="7">
        <f t="shared" si="60"/>
        <v>-0.53820359281437125</v>
      </c>
    </row>
    <row r="143" spans="1:26" s="29" customFormat="1" outlineLevel="1" collapsed="1" x14ac:dyDescent="0.25">
      <c r="A143" s="28"/>
      <c r="B143" s="14" t="str">
        <f>CONCATENATE("     ","Freight out/Postage                               ")</f>
        <v xml:space="preserve">     Freight out/Postage                               </v>
      </c>
      <c r="C143" s="14"/>
      <c r="D143" s="1">
        <f>SUM(OSRRefD22_10x_0)</f>
        <v>-83736.579999999987</v>
      </c>
      <c r="E143" s="1"/>
      <c r="F143" s="5">
        <f t="shared" si="53"/>
        <v>-5.2403712990376536E-2</v>
      </c>
      <c r="G143" s="1"/>
      <c r="H143" s="1">
        <f>SUM(OSRRefH22_10x_0)</f>
        <v>11135</v>
      </c>
      <c r="I143" s="1"/>
      <c r="J143" s="5">
        <f t="shared" si="54"/>
        <v>5.5721304403959695E-3</v>
      </c>
      <c r="K143" s="1"/>
      <c r="L143" s="1">
        <f t="shared" si="55"/>
        <v>-94871.579999999987</v>
      </c>
      <c r="M143" s="1"/>
      <c r="N143" s="5">
        <f t="shared" si="56"/>
        <v>-8.520123933542882</v>
      </c>
      <c r="O143" s="14"/>
      <c r="P143" s="1">
        <f>SUM(OSRRefP22_10x_0)</f>
        <v>-74807.929999999993</v>
      </c>
      <c r="Q143" s="1"/>
      <c r="R143" s="5">
        <f t="shared" si="57"/>
        <v>-4.0977615469088402E-2</v>
      </c>
      <c r="S143" s="1"/>
      <c r="T143" s="1">
        <f>SUM(OSRRefT22_10x_0)</f>
        <v>16155</v>
      </c>
      <c r="U143" s="1"/>
      <c r="V143" s="5">
        <f t="shared" si="58"/>
        <v>7.0227558154547579E-3</v>
      </c>
      <c r="W143" s="1"/>
      <c r="X143" s="1">
        <f t="shared" si="59"/>
        <v>-90962.93</v>
      </c>
      <c r="Y143" s="1"/>
      <c r="Z143" s="5">
        <f t="shared" si="60"/>
        <v>-5.6306363354998448</v>
      </c>
    </row>
    <row r="144" spans="1:26" s="24" customFormat="1" hidden="1" outlineLevel="2" x14ac:dyDescent="0.25">
      <c r="A144" s="27"/>
      <c r="B144" s="11" t="str">
        <f>CONCATENATE("          ", "6305", " - ", "FREIGHT OUT")</f>
        <v xml:space="preserve">          6305 - FREIGHT OUT</v>
      </c>
      <c r="C144" s="11"/>
      <c r="D144" s="6">
        <v>8244.4599999999991</v>
      </c>
      <c r="E144" s="2"/>
      <c r="F144" s="7">
        <f t="shared" si="53"/>
        <v>5.1595170903879729E-3</v>
      </c>
      <c r="G144" s="2"/>
      <c r="H144" s="6">
        <v>3615</v>
      </c>
      <c r="I144" s="2"/>
      <c r="J144" s="7">
        <f t="shared" si="54"/>
        <v>1.8090032817271154E-3</v>
      </c>
      <c r="K144" s="2"/>
      <c r="L144" s="6">
        <f t="shared" si="55"/>
        <v>4629.4599999999991</v>
      </c>
      <c r="M144" s="2"/>
      <c r="N144" s="7">
        <f t="shared" si="56"/>
        <v>1.2806251728907327</v>
      </c>
      <c r="O144" s="11"/>
      <c r="P144" s="6">
        <v>20333.550000000003</v>
      </c>
      <c r="Q144" s="2"/>
      <c r="R144" s="7">
        <f t="shared" si="57"/>
        <v>1.1138129246745402E-2</v>
      </c>
      <c r="S144" s="2"/>
      <c r="T144" s="6">
        <v>5115</v>
      </c>
      <c r="U144" s="2"/>
      <c r="V144" s="7">
        <f t="shared" si="58"/>
        <v>2.2235466416620914E-3</v>
      </c>
      <c r="W144" s="2"/>
      <c r="X144" s="6">
        <f t="shared" si="59"/>
        <v>15218.550000000003</v>
      </c>
      <c r="Y144" s="2"/>
      <c r="Z144" s="7">
        <f t="shared" si="60"/>
        <v>2.9752785923753673</v>
      </c>
    </row>
    <row r="145" spans="1:26" s="24" customFormat="1" hidden="1" outlineLevel="2" x14ac:dyDescent="0.25">
      <c r="A145" s="27"/>
      <c r="B145" s="11" t="str">
        <f>CONCATENATE("          ", "6307", " - ", "POSTAGE")</f>
        <v xml:space="preserve">          6307 - POSTAGE</v>
      </c>
      <c r="C145" s="11"/>
      <c r="D145" s="6">
        <v>-91981.04</v>
      </c>
      <c r="E145" s="2"/>
      <c r="F145" s="7">
        <f t="shared" si="53"/>
        <v>-5.7563230080764513E-2</v>
      </c>
      <c r="G145" s="2"/>
      <c r="H145" s="6">
        <v>7520</v>
      </c>
      <c r="I145" s="2"/>
      <c r="J145" s="7">
        <f t="shared" si="54"/>
        <v>3.7631271586688543E-3</v>
      </c>
      <c r="K145" s="2"/>
      <c r="L145" s="6">
        <f t="shared" si="55"/>
        <v>-99501.04</v>
      </c>
      <c r="M145" s="2"/>
      <c r="N145" s="7">
        <f t="shared" si="56"/>
        <v>-13.231521276595744</v>
      </c>
      <c r="O145" s="11"/>
      <c r="P145" s="6">
        <v>-95141.48</v>
      </c>
      <c r="Q145" s="2"/>
      <c r="R145" s="7">
        <f t="shared" si="57"/>
        <v>-5.2115744715833807E-2</v>
      </c>
      <c r="S145" s="2"/>
      <c r="T145" s="6">
        <v>11040</v>
      </c>
      <c r="U145" s="2"/>
      <c r="V145" s="7">
        <f t="shared" si="58"/>
        <v>4.7992091737926665E-3</v>
      </c>
      <c r="W145" s="2"/>
      <c r="X145" s="6">
        <f t="shared" si="59"/>
        <v>-106181.48</v>
      </c>
      <c r="Y145" s="2"/>
      <c r="Z145" s="7">
        <f t="shared" si="60"/>
        <v>-9.6178876811594201</v>
      </c>
    </row>
    <row r="146" spans="1:26" s="29" customFormat="1" outlineLevel="1" collapsed="1" x14ac:dyDescent="0.25">
      <c r="A146" s="28"/>
      <c r="B146" s="14" t="str">
        <f>CONCATENATE("     ","General                                           ")</f>
        <v xml:space="preserve">     General                                           </v>
      </c>
      <c r="C146" s="14"/>
      <c r="D146" s="1">
        <f>SUM(OSRRefD22_11x_0)</f>
        <v>113.26</v>
      </c>
      <c r="E146" s="1"/>
      <c r="F146" s="5">
        <f t="shared" ref="F146:F149" si="61">IF(D$12=0,0,D146/D$12)</f>
        <v>7.0879949160689956E-5</v>
      </c>
      <c r="G146" s="1"/>
      <c r="H146" s="1">
        <f>SUM(OSRRefH22_11x_0)</f>
        <v>625</v>
      </c>
      <c r="I146" s="1"/>
      <c r="J146" s="5">
        <f t="shared" ref="J146:J149" si="62">IF(H$12=0,0,H146/H$12)</f>
        <v>3.1275990347979176E-4</v>
      </c>
      <c r="K146" s="1"/>
      <c r="L146" s="1">
        <f t="shared" ref="L146:L149" si="63">+D146-H146</f>
        <v>-511.74</v>
      </c>
      <c r="M146" s="1"/>
      <c r="N146" s="5">
        <f t="shared" ref="N146:N149" si="64">IF(H146=0,0,L146/H146)</f>
        <v>-0.81878400000000007</v>
      </c>
      <c r="O146" s="14"/>
      <c r="P146" s="1">
        <f>SUM(OSRRefP22_11x_0)</f>
        <v>-1697.73</v>
      </c>
      <c r="Q146" s="1"/>
      <c r="R146" s="5">
        <f t="shared" ref="R146:R149" si="65">IF(P$12=0,0,P146/P$12)</f>
        <v>-9.2996727900819423E-4</v>
      </c>
      <c r="S146" s="1"/>
      <c r="T146" s="1">
        <f>SUM(OSRRefT22_11x_0)</f>
        <v>5425</v>
      </c>
      <c r="U146" s="1"/>
      <c r="V146" s="5">
        <f t="shared" ref="V146:V149" si="66">IF(T$12=0,0,T146/T$12)</f>
        <v>2.3583070441870664E-3</v>
      </c>
      <c r="W146" s="1"/>
      <c r="X146" s="1">
        <f t="shared" ref="X146:X149" si="67">+P146-T146</f>
        <v>-7122.73</v>
      </c>
      <c r="Y146" s="1"/>
      <c r="Z146" s="5">
        <f t="shared" ref="Z146:Z149" si="68">IF(T146=0,0,X146/T146)</f>
        <v>-1.3129456221198157</v>
      </c>
    </row>
    <row r="147" spans="1:26" s="24" customFormat="1" hidden="1" outlineLevel="2" x14ac:dyDescent="0.25">
      <c r="A147" s="27"/>
      <c r="B147" s="11" t="str">
        <f>CONCATENATE("          ", "6269", " - ", "ENTERTAINMENT")</f>
        <v xml:space="preserve">          6269 - ENTERTAINMENT</v>
      </c>
      <c r="C147" s="11"/>
      <c r="D147" s="6"/>
      <c r="E147" s="2"/>
      <c r="F147" s="7">
        <f t="shared" si="61"/>
        <v>0</v>
      </c>
      <c r="G147" s="2"/>
      <c r="H147" s="6">
        <v>125</v>
      </c>
      <c r="I147" s="2"/>
      <c r="J147" s="7">
        <f t="shared" si="62"/>
        <v>6.2551980695958352E-5</v>
      </c>
      <c r="K147" s="2"/>
      <c r="L147" s="6">
        <f t="shared" si="63"/>
        <v>-125</v>
      </c>
      <c r="M147" s="2"/>
      <c r="N147" s="7">
        <f t="shared" si="64"/>
        <v>-1</v>
      </c>
      <c r="O147" s="11"/>
      <c r="P147" s="6"/>
      <c r="Q147" s="2"/>
      <c r="R147" s="7">
        <f t="shared" si="65"/>
        <v>0</v>
      </c>
      <c r="S147" s="2"/>
      <c r="T147" s="6">
        <v>125</v>
      </c>
      <c r="U147" s="2"/>
      <c r="V147" s="7">
        <f t="shared" si="66"/>
        <v>5.4338871985877107E-5</v>
      </c>
      <c r="W147" s="2"/>
      <c r="X147" s="6">
        <f t="shared" si="67"/>
        <v>-125</v>
      </c>
      <c r="Y147" s="2"/>
      <c r="Z147" s="7">
        <f t="shared" si="68"/>
        <v>-1</v>
      </c>
    </row>
    <row r="148" spans="1:26" s="24" customFormat="1" hidden="1" outlineLevel="2" x14ac:dyDescent="0.25">
      <c r="A148" s="27"/>
      <c r="B148" s="11" t="str">
        <f>CONCATENATE("          ", "6276", " - ", "PROPERTY TAX")</f>
        <v xml:space="preserve">          6276 - PROPERTY TAX</v>
      </c>
      <c r="C148" s="11"/>
      <c r="D148" s="6"/>
      <c r="E148" s="2"/>
      <c r="F148" s="7">
        <f t="shared" si="61"/>
        <v>0</v>
      </c>
      <c r="G148" s="2"/>
      <c r="H148" s="6"/>
      <c r="I148" s="2"/>
      <c r="J148" s="7">
        <f t="shared" si="62"/>
        <v>0</v>
      </c>
      <c r="K148" s="2"/>
      <c r="L148" s="6">
        <f t="shared" si="63"/>
        <v>0</v>
      </c>
      <c r="M148" s="2"/>
      <c r="N148" s="7">
        <f t="shared" si="64"/>
        <v>0</v>
      </c>
      <c r="O148" s="11"/>
      <c r="P148" s="6"/>
      <c r="Q148" s="2"/>
      <c r="R148" s="7">
        <f t="shared" si="65"/>
        <v>0</v>
      </c>
      <c r="S148" s="2"/>
      <c r="T148" s="6">
        <v>150</v>
      </c>
      <c r="U148" s="2"/>
      <c r="V148" s="7">
        <f t="shared" si="66"/>
        <v>6.5206646383052537E-5</v>
      </c>
      <c r="W148" s="2"/>
      <c r="X148" s="6">
        <f t="shared" si="67"/>
        <v>-150</v>
      </c>
      <c r="Y148" s="2"/>
      <c r="Z148" s="7">
        <f t="shared" si="68"/>
        <v>-1</v>
      </c>
    </row>
    <row r="149" spans="1:26" s="24" customFormat="1" hidden="1" outlineLevel="2" x14ac:dyDescent="0.25">
      <c r="A149" s="27"/>
      <c r="B149" s="11" t="str">
        <f>CONCATENATE("          ", "6279", " - ", "GENERAL EXPENSE")</f>
        <v xml:space="preserve">          6279 - GENERAL EXPENSE</v>
      </c>
      <c r="C149" s="11"/>
      <c r="D149" s="6">
        <v>113.26</v>
      </c>
      <c r="E149" s="2"/>
      <c r="F149" s="7">
        <f t="shared" si="61"/>
        <v>7.0879949160689956E-5</v>
      </c>
      <c r="G149" s="2"/>
      <c r="H149" s="6">
        <v>500</v>
      </c>
      <c r="I149" s="2"/>
      <c r="J149" s="7">
        <f t="shared" si="62"/>
        <v>2.5020792278383341E-4</v>
      </c>
      <c r="K149" s="2"/>
      <c r="L149" s="6">
        <f t="shared" si="63"/>
        <v>-386.74</v>
      </c>
      <c r="M149" s="2"/>
      <c r="N149" s="7">
        <f t="shared" si="64"/>
        <v>-0.77348000000000006</v>
      </c>
      <c r="O149" s="11"/>
      <c r="P149" s="6">
        <v>-1697.73</v>
      </c>
      <c r="Q149" s="2"/>
      <c r="R149" s="7">
        <f t="shared" si="65"/>
        <v>-9.2996727900819423E-4</v>
      </c>
      <c r="S149" s="2"/>
      <c r="T149" s="6">
        <v>5150</v>
      </c>
      <c r="U149" s="2"/>
      <c r="V149" s="7">
        <f t="shared" si="66"/>
        <v>2.238761525818137E-3</v>
      </c>
      <c r="W149" s="2"/>
      <c r="X149" s="6">
        <f t="shared" si="67"/>
        <v>-6847.73</v>
      </c>
      <c r="Y149" s="2"/>
      <c r="Z149" s="7">
        <f t="shared" si="68"/>
        <v>-1.3296563106796115</v>
      </c>
    </row>
    <row r="150" spans="1:26" s="29" customFormat="1" outlineLevel="1" collapsed="1" x14ac:dyDescent="0.25">
      <c r="A150" s="28"/>
      <c r="B150" s="14" t="str">
        <f>CONCATENATE("     ","Insurance                                         ")</f>
        <v xml:space="preserve">     Insurance                                         </v>
      </c>
      <c r="C150" s="14"/>
      <c r="D150" s="1">
        <f>SUM(OSRRefD22_12x_0)</f>
        <v>4288.28</v>
      </c>
      <c r="E150" s="1"/>
      <c r="F150" s="5">
        <f t="shared" ref="F150:F164" si="69">IF(D$12=0,0,D150/D$12)</f>
        <v>2.6836753345117737E-3</v>
      </c>
      <c r="G150" s="1"/>
      <c r="H150" s="1">
        <f>SUM(OSRRefH22_12x_0)</f>
        <v>4716</v>
      </c>
      <c r="I150" s="1"/>
      <c r="J150" s="5">
        <f t="shared" ref="J150:J164" si="70">IF(H$12=0,0,H150/H$12)</f>
        <v>2.3599611276971166E-3</v>
      </c>
      <c r="K150" s="1"/>
      <c r="L150" s="1">
        <f t="shared" ref="L150:L164" si="71">+D150-H150</f>
        <v>-427.72000000000025</v>
      </c>
      <c r="M150" s="1"/>
      <c r="N150" s="5">
        <f t="shared" ref="N150:N164" si="72">IF(H150=0,0,L150/H150)</f>
        <v>-9.0695504664970367E-2</v>
      </c>
      <c r="O150" s="14"/>
      <c r="P150" s="1">
        <f>SUM(OSRRefP22_12x_0)</f>
        <v>8576.56</v>
      </c>
      <c r="Q150" s="1"/>
      <c r="R150" s="5">
        <f t="shared" ref="R150:R164" si="73">IF(P$12=0,0,P150/P$12)</f>
        <v>4.6979909446440348E-3</v>
      </c>
      <c r="S150" s="1"/>
      <c r="T150" s="1">
        <f>SUM(OSRRefT22_12x_0)</f>
        <v>9432</v>
      </c>
      <c r="U150" s="1"/>
      <c r="V150" s="5">
        <f t="shared" ref="V150:V164" si="74">IF(T$12=0,0,T150/T$12)</f>
        <v>4.100193924566343E-3</v>
      </c>
      <c r="W150" s="1"/>
      <c r="X150" s="1">
        <f t="shared" ref="X150:X164" si="75">+P150-T150</f>
        <v>-855.44000000000051</v>
      </c>
      <c r="Y150" s="1"/>
      <c r="Z150" s="5">
        <f t="shared" ref="Z150:Z164" si="76">IF(T150=0,0,X150/T150)</f>
        <v>-9.0695504664970367E-2</v>
      </c>
    </row>
    <row r="151" spans="1:26" s="24" customFormat="1" hidden="1" outlineLevel="2" x14ac:dyDescent="0.25">
      <c r="A151" s="27"/>
      <c r="B151" s="11" t="str">
        <f>CONCATENATE("          ", "6314", " - ", "LIABILITY INSURANCE")</f>
        <v xml:space="preserve">          6314 - LIABILITY INSURANCE</v>
      </c>
      <c r="C151" s="11"/>
      <c r="D151" s="6">
        <v>4288.28</v>
      </c>
      <c r="E151" s="2"/>
      <c r="F151" s="7">
        <f t="shared" si="69"/>
        <v>2.6836753345117737E-3</v>
      </c>
      <c r="G151" s="2"/>
      <c r="H151" s="6">
        <v>4716</v>
      </c>
      <c r="I151" s="2"/>
      <c r="J151" s="7">
        <f t="shared" si="70"/>
        <v>2.3599611276971166E-3</v>
      </c>
      <c r="K151" s="2"/>
      <c r="L151" s="6">
        <f t="shared" si="71"/>
        <v>-427.72000000000025</v>
      </c>
      <c r="M151" s="2"/>
      <c r="N151" s="7">
        <f t="shared" si="72"/>
        <v>-9.0695504664970367E-2</v>
      </c>
      <c r="O151" s="11"/>
      <c r="P151" s="6">
        <v>8576.56</v>
      </c>
      <c r="Q151" s="2"/>
      <c r="R151" s="7">
        <f t="shared" si="73"/>
        <v>4.6979909446440348E-3</v>
      </c>
      <c r="S151" s="2"/>
      <c r="T151" s="6">
        <v>9432</v>
      </c>
      <c r="U151" s="2"/>
      <c r="V151" s="7">
        <f t="shared" si="74"/>
        <v>4.100193924566343E-3</v>
      </c>
      <c r="W151" s="2"/>
      <c r="X151" s="6">
        <f t="shared" si="75"/>
        <v>-855.44000000000051</v>
      </c>
      <c r="Y151" s="2"/>
      <c r="Z151" s="7">
        <f t="shared" si="76"/>
        <v>-9.0695504664970367E-2</v>
      </c>
    </row>
    <row r="152" spans="1:26" s="29" customFormat="1" outlineLevel="1" collapsed="1" x14ac:dyDescent="0.25">
      <c r="A152" s="28"/>
      <c r="B152" s="14" t="str">
        <f>CONCATENATE("     ","Interest                                          ")</f>
        <v xml:space="preserve">     Interest                                          </v>
      </c>
      <c r="C152" s="14"/>
      <c r="D152" s="1">
        <f>SUM(OSRRefD22_13x_0)</f>
        <v>4044</v>
      </c>
      <c r="E152" s="1"/>
      <c r="F152" s="5">
        <f t="shared" si="69"/>
        <v>2.5308009394828727E-3</v>
      </c>
      <c r="G152" s="1"/>
      <c r="H152" s="1">
        <f>SUM(OSRRefH22_13x_0)</f>
        <v>4044</v>
      </c>
      <c r="I152" s="1"/>
      <c r="J152" s="5">
        <f t="shared" si="70"/>
        <v>2.0236816794756444E-3</v>
      </c>
      <c r="K152" s="1"/>
      <c r="L152" s="1">
        <f t="shared" si="71"/>
        <v>0</v>
      </c>
      <c r="M152" s="1"/>
      <c r="N152" s="5">
        <f t="shared" si="72"/>
        <v>0</v>
      </c>
      <c r="O152" s="14"/>
      <c r="P152" s="1">
        <f>SUM(OSRRefP22_13x_0)</f>
        <v>8088</v>
      </c>
      <c r="Q152" s="1"/>
      <c r="R152" s="5">
        <f t="shared" si="73"/>
        <v>4.4303719393650786E-3</v>
      </c>
      <c r="S152" s="1"/>
      <c r="T152" s="1">
        <f>SUM(OSRRefT22_13x_0)</f>
        <v>8088</v>
      </c>
      <c r="U152" s="1"/>
      <c r="V152" s="5">
        <f t="shared" si="74"/>
        <v>3.5159423729741925E-3</v>
      </c>
      <c r="W152" s="1"/>
      <c r="X152" s="1">
        <f t="shared" si="75"/>
        <v>0</v>
      </c>
      <c r="Y152" s="1"/>
      <c r="Z152" s="5">
        <f t="shared" si="76"/>
        <v>0</v>
      </c>
    </row>
    <row r="153" spans="1:26" s="24" customFormat="1" hidden="1" outlineLevel="2" x14ac:dyDescent="0.25">
      <c r="A153" s="27"/>
      <c r="B153" s="11" t="str">
        <f>CONCATENATE("          ", "6401", " - ", "INTEREST EXPENSE")</f>
        <v xml:space="preserve">          6401 - INTEREST EXPENSE</v>
      </c>
      <c r="C153" s="11"/>
      <c r="D153" s="6">
        <v>4044</v>
      </c>
      <c r="E153" s="2"/>
      <c r="F153" s="7">
        <f t="shared" si="69"/>
        <v>2.5308009394828727E-3</v>
      </c>
      <c r="G153" s="2"/>
      <c r="H153" s="6">
        <v>4044</v>
      </c>
      <c r="I153" s="2"/>
      <c r="J153" s="7">
        <f t="shared" si="70"/>
        <v>2.0236816794756444E-3</v>
      </c>
      <c r="K153" s="2"/>
      <c r="L153" s="6">
        <f t="shared" si="71"/>
        <v>0</v>
      </c>
      <c r="M153" s="2"/>
      <c r="N153" s="7">
        <f t="shared" si="72"/>
        <v>0</v>
      </c>
      <c r="O153" s="11"/>
      <c r="P153" s="6">
        <v>8088</v>
      </c>
      <c r="Q153" s="2"/>
      <c r="R153" s="7">
        <f t="shared" si="73"/>
        <v>4.4303719393650786E-3</v>
      </c>
      <c r="S153" s="2"/>
      <c r="T153" s="6">
        <v>8088</v>
      </c>
      <c r="U153" s="2"/>
      <c r="V153" s="7">
        <f t="shared" si="74"/>
        <v>3.5159423729741925E-3</v>
      </c>
      <c r="W153" s="2"/>
      <c r="X153" s="6">
        <f t="shared" si="75"/>
        <v>0</v>
      </c>
      <c r="Y153" s="2"/>
      <c r="Z153" s="7">
        <f t="shared" si="76"/>
        <v>0</v>
      </c>
    </row>
    <row r="154" spans="1:26" s="29" customFormat="1" outlineLevel="1" collapsed="1" x14ac:dyDescent="0.25">
      <c r="A154" s="28"/>
      <c r="B154" s="14" t="str">
        <f>CONCATENATE("     ","Inventory Adjustment                              ")</f>
        <v xml:space="preserve">     Inventory Adjustment                              </v>
      </c>
      <c r="C154" s="14"/>
      <c r="D154" s="1">
        <f>SUM(OSRRefD22_14x_0)</f>
        <v>2100</v>
      </c>
      <c r="E154" s="1"/>
      <c r="F154" s="5">
        <f t="shared" si="69"/>
        <v>1.3142141377136579E-3</v>
      </c>
      <c r="G154" s="1"/>
      <c r="H154" s="1">
        <f>SUM(OSRRefH22_14x_0)</f>
        <v>3100</v>
      </c>
      <c r="I154" s="1"/>
      <c r="J154" s="5">
        <f t="shared" si="70"/>
        <v>1.551289121259767E-3</v>
      </c>
      <c r="K154" s="1"/>
      <c r="L154" s="1">
        <f t="shared" si="71"/>
        <v>-1000</v>
      </c>
      <c r="M154" s="1"/>
      <c r="N154" s="5">
        <f t="shared" si="72"/>
        <v>-0.32258064516129031</v>
      </c>
      <c r="O154" s="14"/>
      <c r="P154" s="1">
        <f>SUM(OSRRefP22_14x_0)</f>
        <v>4200</v>
      </c>
      <c r="Q154" s="1"/>
      <c r="R154" s="5">
        <f t="shared" si="73"/>
        <v>2.3006382474447737E-3</v>
      </c>
      <c r="S154" s="1"/>
      <c r="T154" s="1">
        <f>SUM(OSRRefT22_14x_0)</f>
        <v>6200</v>
      </c>
      <c r="U154" s="1"/>
      <c r="V154" s="5">
        <f t="shared" si="74"/>
        <v>2.6952080504995045E-3</v>
      </c>
      <c r="W154" s="1"/>
      <c r="X154" s="1">
        <f t="shared" si="75"/>
        <v>-2000</v>
      </c>
      <c r="Y154" s="1"/>
      <c r="Z154" s="5">
        <f t="shared" si="76"/>
        <v>-0.32258064516129031</v>
      </c>
    </row>
    <row r="155" spans="1:26" s="24" customFormat="1" hidden="1" outlineLevel="2" x14ac:dyDescent="0.25">
      <c r="A155" s="27"/>
      <c r="B155" s="11" t="str">
        <f>CONCATENATE("          ", "6408", " - ", "INVENTORY ADJUSTMENT")</f>
        <v xml:space="preserve">          6408 - INVENTORY ADJUSTMENT</v>
      </c>
      <c r="C155" s="11"/>
      <c r="D155" s="6">
        <v>2100</v>
      </c>
      <c r="E155" s="2"/>
      <c r="F155" s="7">
        <f t="shared" si="69"/>
        <v>1.3142141377136579E-3</v>
      </c>
      <c r="G155" s="2"/>
      <c r="H155" s="6">
        <v>3100</v>
      </c>
      <c r="I155" s="2"/>
      <c r="J155" s="7">
        <f t="shared" si="70"/>
        <v>1.551289121259767E-3</v>
      </c>
      <c r="K155" s="2"/>
      <c r="L155" s="6">
        <f t="shared" si="71"/>
        <v>-1000</v>
      </c>
      <c r="M155" s="2"/>
      <c r="N155" s="7">
        <f t="shared" si="72"/>
        <v>-0.32258064516129031</v>
      </c>
      <c r="O155" s="11"/>
      <c r="P155" s="6">
        <v>4200</v>
      </c>
      <c r="Q155" s="2"/>
      <c r="R155" s="7">
        <f t="shared" si="73"/>
        <v>2.3006382474447737E-3</v>
      </c>
      <c r="S155" s="2"/>
      <c r="T155" s="6">
        <v>6200</v>
      </c>
      <c r="U155" s="2"/>
      <c r="V155" s="7">
        <f t="shared" si="74"/>
        <v>2.6952080504995045E-3</v>
      </c>
      <c r="W155" s="2"/>
      <c r="X155" s="6">
        <f t="shared" si="75"/>
        <v>-2000</v>
      </c>
      <c r="Y155" s="2"/>
      <c r="Z155" s="7">
        <f t="shared" si="76"/>
        <v>-0.32258064516129031</v>
      </c>
    </row>
    <row r="156" spans="1:26" s="29" customFormat="1" outlineLevel="1" collapsed="1" x14ac:dyDescent="0.25">
      <c r="A156" s="28"/>
      <c r="B156" s="14" t="str">
        <f>CONCATENATE("     ","Professional Services                             ")</f>
        <v xml:space="preserve">     Professional Services                             </v>
      </c>
      <c r="C156" s="14"/>
      <c r="D156" s="1">
        <f>SUM(OSRRefD22_15x_0)</f>
        <v>0</v>
      </c>
      <c r="E156" s="1"/>
      <c r="F156" s="5">
        <f t="shared" si="69"/>
        <v>0</v>
      </c>
      <c r="G156" s="1"/>
      <c r="H156" s="1">
        <f>SUM(OSRRefH22_15x_0)</f>
        <v>0</v>
      </c>
      <c r="I156" s="1"/>
      <c r="J156" s="5">
        <f t="shared" si="70"/>
        <v>0</v>
      </c>
      <c r="K156" s="1"/>
      <c r="L156" s="1">
        <f t="shared" si="71"/>
        <v>0</v>
      </c>
      <c r="M156" s="1"/>
      <c r="N156" s="5">
        <f t="shared" si="72"/>
        <v>0</v>
      </c>
      <c r="O156" s="14"/>
      <c r="P156" s="1">
        <f>SUM(OSRRefP22_15x_0)</f>
        <v>0</v>
      </c>
      <c r="Q156" s="1"/>
      <c r="R156" s="5">
        <f t="shared" si="73"/>
        <v>0</v>
      </c>
      <c r="S156" s="1"/>
      <c r="T156" s="1">
        <f>SUM(OSRRefT22_15x_0)</f>
        <v>6550</v>
      </c>
      <c r="U156" s="1"/>
      <c r="V156" s="5">
        <f t="shared" si="74"/>
        <v>2.8473568920599607E-3</v>
      </c>
      <c r="W156" s="1"/>
      <c r="X156" s="1">
        <f t="shared" si="75"/>
        <v>-6550</v>
      </c>
      <c r="Y156" s="1"/>
      <c r="Z156" s="5">
        <f t="shared" si="76"/>
        <v>-1</v>
      </c>
    </row>
    <row r="157" spans="1:26" s="24" customFormat="1" hidden="1" outlineLevel="2" x14ac:dyDescent="0.25">
      <c r="A157" s="27"/>
      <c r="B157" s="11" t="str">
        <f>CONCATENATE("          ", "6336", " - ", "PROFESSIONAL SERVICES")</f>
        <v xml:space="preserve">          6336 - PROFESSIONAL SERVICES</v>
      </c>
      <c r="C157" s="11"/>
      <c r="D157" s="6"/>
      <c r="E157" s="2"/>
      <c r="F157" s="7">
        <f t="shared" si="69"/>
        <v>0</v>
      </c>
      <c r="G157" s="2"/>
      <c r="H157" s="6">
        <v>0</v>
      </c>
      <c r="I157" s="2"/>
      <c r="J157" s="7">
        <f t="shared" si="70"/>
        <v>0</v>
      </c>
      <c r="K157" s="2"/>
      <c r="L157" s="6">
        <f t="shared" si="71"/>
        <v>0</v>
      </c>
      <c r="M157" s="2"/>
      <c r="N157" s="7">
        <f t="shared" si="72"/>
        <v>0</v>
      </c>
      <c r="O157" s="11"/>
      <c r="P157" s="6"/>
      <c r="Q157" s="2"/>
      <c r="R157" s="7">
        <f t="shared" si="73"/>
        <v>0</v>
      </c>
      <c r="S157" s="2"/>
      <c r="T157" s="6">
        <v>6550</v>
      </c>
      <c r="U157" s="2"/>
      <c r="V157" s="7">
        <f t="shared" si="74"/>
        <v>2.8473568920599607E-3</v>
      </c>
      <c r="W157" s="2"/>
      <c r="X157" s="6">
        <f t="shared" si="75"/>
        <v>-6550</v>
      </c>
      <c r="Y157" s="2"/>
      <c r="Z157" s="7">
        <f t="shared" si="76"/>
        <v>-1</v>
      </c>
    </row>
    <row r="158" spans="1:26" s="29" customFormat="1" outlineLevel="1" collapsed="1" x14ac:dyDescent="0.25">
      <c r="A158" s="28"/>
      <c r="B158" s="14" t="str">
        <f>CONCATENATE("     ","Rent                                              ")</f>
        <v xml:space="preserve">     Rent                                              </v>
      </c>
      <c r="C158" s="14"/>
      <c r="D158" s="1">
        <f>SUM(OSRRefD22_16x_0)</f>
        <v>6100</v>
      </c>
      <c r="E158" s="1"/>
      <c r="F158" s="5">
        <f t="shared" si="69"/>
        <v>3.8174791619301493E-3</v>
      </c>
      <c r="G158" s="1"/>
      <c r="H158" s="1">
        <f>SUM(OSRRefH22_16x_0)</f>
        <v>6100</v>
      </c>
      <c r="I158" s="1"/>
      <c r="J158" s="5">
        <f t="shared" si="70"/>
        <v>3.0525366579627674E-3</v>
      </c>
      <c r="K158" s="1"/>
      <c r="L158" s="1">
        <f t="shared" si="71"/>
        <v>0</v>
      </c>
      <c r="M158" s="1"/>
      <c r="N158" s="5">
        <f t="shared" si="72"/>
        <v>0</v>
      </c>
      <c r="O158" s="14"/>
      <c r="P158" s="1">
        <f>SUM(OSRRefP22_16x_0)</f>
        <v>12200</v>
      </c>
      <c r="Q158" s="1"/>
      <c r="R158" s="5">
        <f t="shared" si="73"/>
        <v>6.6828063378157714E-3</v>
      </c>
      <c r="S158" s="1"/>
      <c r="T158" s="1">
        <f>SUM(OSRRefT22_16x_0)</f>
        <v>12200</v>
      </c>
      <c r="U158" s="1"/>
      <c r="V158" s="5">
        <f t="shared" si="74"/>
        <v>5.3034739058216056E-3</v>
      </c>
      <c r="W158" s="1"/>
      <c r="X158" s="1">
        <f t="shared" si="75"/>
        <v>0</v>
      </c>
      <c r="Y158" s="1"/>
      <c r="Z158" s="5">
        <f t="shared" si="76"/>
        <v>0</v>
      </c>
    </row>
    <row r="159" spans="1:26" s="24" customFormat="1" hidden="1" outlineLevel="2" x14ac:dyDescent="0.25">
      <c r="A159" s="27"/>
      <c r="B159" s="11" t="str">
        <f>CONCATENATE("          ", "6273", " - ", "RENT")</f>
        <v xml:space="preserve">          6273 - RENT</v>
      </c>
      <c r="C159" s="11"/>
      <c r="D159" s="6">
        <v>6100</v>
      </c>
      <c r="E159" s="2"/>
      <c r="F159" s="7">
        <f t="shared" si="69"/>
        <v>3.8174791619301493E-3</v>
      </c>
      <c r="G159" s="2"/>
      <c r="H159" s="6">
        <v>6100</v>
      </c>
      <c r="I159" s="2"/>
      <c r="J159" s="7">
        <f t="shared" si="70"/>
        <v>3.0525366579627674E-3</v>
      </c>
      <c r="K159" s="2"/>
      <c r="L159" s="6">
        <f t="shared" si="71"/>
        <v>0</v>
      </c>
      <c r="M159" s="2"/>
      <c r="N159" s="7">
        <f t="shared" si="72"/>
        <v>0</v>
      </c>
      <c r="O159" s="11"/>
      <c r="P159" s="6">
        <v>12200</v>
      </c>
      <c r="Q159" s="2"/>
      <c r="R159" s="7">
        <f t="shared" si="73"/>
        <v>6.6828063378157714E-3</v>
      </c>
      <c r="S159" s="2"/>
      <c r="T159" s="6">
        <v>12200</v>
      </c>
      <c r="U159" s="2"/>
      <c r="V159" s="7">
        <f t="shared" si="74"/>
        <v>5.3034739058216056E-3</v>
      </c>
      <c r="W159" s="2"/>
      <c r="X159" s="6">
        <f t="shared" si="75"/>
        <v>0</v>
      </c>
      <c r="Y159" s="2"/>
      <c r="Z159" s="7">
        <f t="shared" si="76"/>
        <v>0</v>
      </c>
    </row>
    <row r="160" spans="1:26" s="29" customFormat="1" outlineLevel="1" collapsed="1" x14ac:dyDescent="0.25">
      <c r="A160" s="28"/>
      <c r="B160" s="14" t="str">
        <f>CONCATENATE("     ","Repair and Maintenance                            ")</f>
        <v xml:space="preserve">     Repair and Maintenance                            </v>
      </c>
      <c r="C160" s="14"/>
      <c r="D160" s="1">
        <f>SUM(OSRRefD22_17x_0)</f>
        <v>7148.7199999999993</v>
      </c>
      <c r="E160" s="1"/>
      <c r="F160" s="5">
        <f t="shared" si="69"/>
        <v>4.4737851859792286E-3</v>
      </c>
      <c r="G160" s="1"/>
      <c r="H160" s="1">
        <f>SUM(OSRRefH22_17x_0)</f>
        <v>12800</v>
      </c>
      <c r="I160" s="1"/>
      <c r="J160" s="5">
        <f t="shared" si="70"/>
        <v>6.4053228232661347E-3</v>
      </c>
      <c r="K160" s="1"/>
      <c r="L160" s="1">
        <f t="shared" si="71"/>
        <v>-5651.2800000000007</v>
      </c>
      <c r="M160" s="1"/>
      <c r="N160" s="5">
        <f t="shared" si="72"/>
        <v>-0.44150625000000004</v>
      </c>
      <c r="O160" s="14"/>
      <c r="P160" s="1">
        <f>SUM(OSRRefP22_17x_0)</f>
        <v>73610.490000000005</v>
      </c>
      <c r="Q160" s="1"/>
      <c r="R160" s="5">
        <f t="shared" si="73"/>
        <v>4.0321692549321678E-2</v>
      </c>
      <c r="S160" s="1"/>
      <c r="T160" s="1">
        <f>SUM(OSRRefT22_17x_0)</f>
        <v>69765</v>
      </c>
      <c r="U160" s="1"/>
      <c r="V160" s="5">
        <f t="shared" si="74"/>
        <v>3.0327611232757734E-2</v>
      </c>
      <c r="W160" s="1"/>
      <c r="X160" s="1">
        <f t="shared" si="75"/>
        <v>3845.4900000000052</v>
      </c>
      <c r="Y160" s="1"/>
      <c r="Z160" s="5">
        <f t="shared" si="76"/>
        <v>5.5120619221672836E-2</v>
      </c>
    </row>
    <row r="161" spans="1:26" s="24" customFormat="1" hidden="1" outlineLevel="2" x14ac:dyDescent="0.25">
      <c r="A161" s="27"/>
      <c r="B161" s="11" t="str">
        <f>CONCATENATE("          ", "6371", " - ", "COMPUTER SOFTWARE MAINTENANCE")</f>
        <v xml:space="preserve">          6371 - COMPUTER SOFTWARE MAINTENANCE</v>
      </c>
      <c r="C161" s="11"/>
      <c r="D161" s="6"/>
      <c r="E161" s="2"/>
      <c r="F161" s="7">
        <f t="shared" si="69"/>
        <v>0</v>
      </c>
      <c r="G161" s="2"/>
      <c r="H161" s="6"/>
      <c r="I161" s="2"/>
      <c r="J161" s="7">
        <f t="shared" si="70"/>
        <v>0</v>
      </c>
      <c r="K161" s="2"/>
      <c r="L161" s="6">
        <f t="shared" si="71"/>
        <v>0</v>
      </c>
      <c r="M161" s="2"/>
      <c r="N161" s="7">
        <f t="shared" si="72"/>
        <v>0</v>
      </c>
      <c r="O161" s="11"/>
      <c r="P161" s="6">
        <v>58428.780000000006</v>
      </c>
      <c r="Q161" s="2"/>
      <c r="R161" s="7">
        <f t="shared" si="73"/>
        <v>3.2005591909413399E-2</v>
      </c>
      <c r="S161" s="2"/>
      <c r="T161" s="6">
        <v>45000</v>
      </c>
      <c r="U161" s="2"/>
      <c r="V161" s="7">
        <f t="shared" si="74"/>
        <v>1.9561993914915761E-2</v>
      </c>
      <c r="W161" s="2"/>
      <c r="X161" s="6">
        <f t="shared" si="75"/>
        <v>13428.780000000006</v>
      </c>
      <c r="Y161" s="2"/>
      <c r="Z161" s="7">
        <f t="shared" si="76"/>
        <v>0.29841733333333348</v>
      </c>
    </row>
    <row r="162" spans="1:26" s="24" customFormat="1" hidden="1" outlineLevel="2" x14ac:dyDescent="0.25">
      <c r="A162" s="27"/>
      <c r="B162" s="11" t="str">
        <f>CONCATENATE("          ", "6372", " - ", "COMPUTER HARDWARE MAINTENANCE")</f>
        <v xml:space="preserve">          6372 - COMPUTER HARDWARE MAINTENANCE</v>
      </c>
      <c r="C162" s="11"/>
      <c r="D162" s="6">
        <v>0.98</v>
      </c>
      <c r="E162" s="2"/>
      <c r="F162" s="7">
        <f t="shared" si="69"/>
        <v>6.1329993093304044E-7</v>
      </c>
      <c r="G162" s="2"/>
      <c r="H162" s="6"/>
      <c r="I162" s="2"/>
      <c r="J162" s="7">
        <f t="shared" si="70"/>
        <v>0</v>
      </c>
      <c r="K162" s="2"/>
      <c r="L162" s="6">
        <f t="shared" si="71"/>
        <v>0.98</v>
      </c>
      <c r="M162" s="2"/>
      <c r="N162" s="7">
        <f t="shared" si="72"/>
        <v>0</v>
      </c>
      <c r="O162" s="11"/>
      <c r="P162" s="6">
        <v>0.98</v>
      </c>
      <c r="Q162" s="2"/>
      <c r="R162" s="7">
        <f t="shared" si="73"/>
        <v>5.3681559107044721E-7</v>
      </c>
      <c r="S162" s="2"/>
      <c r="T162" s="6"/>
      <c r="U162" s="2"/>
      <c r="V162" s="7">
        <f t="shared" si="74"/>
        <v>0</v>
      </c>
      <c r="W162" s="2"/>
      <c r="X162" s="6">
        <f t="shared" si="75"/>
        <v>0.98</v>
      </c>
      <c r="Y162" s="2"/>
      <c r="Z162" s="7">
        <f t="shared" si="76"/>
        <v>0</v>
      </c>
    </row>
    <row r="163" spans="1:26" s="24" customFormat="1" hidden="1" outlineLevel="2" x14ac:dyDescent="0.25">
      <c r="A163" s="27"/>
      <c r="B163" s="11" t="str">
        <f>CONCATENATE("          ", "6373", " - ", "MAINTENANCE CONTRACTS")</f>
        <v xml:space="preserve">          6373 - MAINTENANCE CONTRACTS</v>
      </c>
      <c r="C163" s="11"/>
      <c r="D163" s="6">
        <v>6723.92</v>
      </c>
      <c r="E163" s="2"/>
      <c r="F163" s="7">
        <f t="shared" si="69"/>
        <v>4.2079384404074376E-3</v>
      </c>
      <c r="G163" s="2"/>
      <c r="H163" s="6">
        <v>3840</v>
      </c>
      <c r="I163" s="2"/>
      <c r="J163" s="7">
        <f t="shared" si="70"/>
        <v>1.9215968469798405E-3</v>
      </c>
      <c r="K163" s="2"/>
      <c r="L163" s="6">
        <f t="shared" si="71"/>
        <v>2883.92</v>
      </c>
      <c r="M163" s="2"/>
      <c r="N163" s="7">
        <f t="shared" si="72"/>
        <v>0.75102083333333336</v>
      </c>
      <c r="O163" s="11"/>
      <c r="P163" s="6">
        <v>13139.93</v>
      </c>
      <c r="Q163" s="2"/>
      <c r="R163" s="7">
        <f t="shared" si="73"/>
        <v>7.1976727444635728E-3</v>
      </c>
      <c r="S163" s="2"/>
      <c r="T163" s="6">
        <v>7380</v>
      </c>
      <c r="U163" s="2"/>
      <c r="V163" s="7">
        <f t="shared" si="74"/>
        <v>3.2081670020461845E-3</v>
      </c>
      <c r="W163" s="2"/>
      <c r="X163" s="6">
        <f t="shared" si="75"/>
        <v>5759.93</v>
      </c>
      <c r="Y163" s="2"/>
      <c r="Z163" s="7">
        <f t="shared" si="76"/>
        <v>0.78047831978319793</v>
      </c>
    </row>
    <row r="164" spans="1:26" s="24" customFormat="1" hidden="1" outlineLevel="2" x14ac:dyDescent="0.25">
      <c r="A164" s="27"/>
      <c r="B164" s="11" t="str">
        <f>CONCATENATE("          ", "6375", " - ", "OUTSIDE REPAIRS &amp; MAINTENANCE")</f>
        <v xml:space="preserve">          6375 - OUTSIDE REPAIRS &amp; MAINTENANCE</v>
      </c>
      <c r="C164" s="11"/>
      <c r="D164" s="6">
        <v>423.82</v>
      </c>
      <c r="E164" s="2"/>
      <c r="F164" s="7">
        <f t="shared" si="69"/>
        <v>2.6523344564085834E-4</v>
      </c>
      <c r="G164" s="2"/>
      <c r="H164" s="6">
        <v>8960</v>
      </c>
      <c r="I164" s="2"/>
      <c r="J164" s="7">
        <f t="shared" si="70"/>
        <v>4.483725976286294E-3</v>
      </c>
      <c r="K164" s="2"/>
      <c r="L164" s="6">
        <f t="shared" si="71"/>
        <v>-8536.18</v>
      </c>
      <c r="M164" s="2"/>
      <c r="N164" s="7">
        <f t="shared" si="72"/>
        <v>-0.95269866071428577</v>
      </c>
      <c r="O164" s="11"/>
      <c r="P164" s="6">
        <v>2040.8</v>
      </c>
      <c r="Q164" s="2"/>
      <c r="R164" s="7">
        <f t="shared" si="73"/>
        <v>1.1178910798536415E-3</v>
      </c>
      <c r="S164" s="2"/>
      <c r="T164" s="6">
        <v>17385</v>
      </c>
      <c r="U164" s="2"/>
      <c r="V164" s="7">
        <f t="shared" si="74"/>
        <v>7.5574503157957882E-3</v>
      </c>
      <c r="W164" s="2"/>
      <c r="X164" s="6">
        <f t="shared" si="75"/>
        <v>-15344.2</v>
      </c>
      <c r="Y164" s="2"/>
      <c r="Z164" s="7">
        <f t="shared" si="76"/>
        <v>-0.88261144664941049</v>
      </c>
    </row>
    <row r="165" spans="1:26" s="29" customFormat="1" outlineLevel="1" collapsed="1" x14ac:dyDescent="0.25">
      <c r="A165" s="28"/>
      <c r="B165" s="14" t="str">
        <f>CONCATENATE("     ","Royalty &amp; Commissions                             ")</f>
        <v xml:space="preserve">     Royalty &amp; Commissions                             </v>
      </c>
      <c r="C165" s="14"/>
      <c r="D165" s="1">
        <f>SUM(OSRRefD22_18x_0)</f>
        <v>2254.65</v>
      </c>
      <c r="E165" s="1"/>
      <c r="F165" s="5">
        <f t="shared" ref="F165:F169" si="77">IF(D$12=0,0,D165/D$12)</f>
        <v>1.4109966217124281E-3</v>
      </c>
      <c r="G165" s="1"/>
      <c r="H165" s="1">
        <f>SUM(OSRRefH22_18x_0)</f>
        <v>7001</v>
      </c>
      <c r="I165" s="1"/>
      <c r="J165" s="5">
        <f t="shared" ref="J165:J169" si="78">IF(H$12=0,0,H165/H$12)</f>
        <v>3.5034113348192354E-3</v>
      </c>
      <c r="K165" s="1"/>
      <c r="L165" s="1">
        <f t="shared" ref="L165:L169" si="79">+D165-H165</f>
        <v>-4746.3500000000004</v>
      </c>
      <c r="M165" s="1"/>
      <c r="N165" s="5">
        <f t="shared" ref="N165:N169" si="80">IF(H165=0,0,L165/H165)</f>
        <v>-0.67795314955006436</v>
      </c>
      <c r="O165" s="14"/>
      <c r="P165" s="1">
        <f>SUM(OSRRefP22_18x_0)</f>
        <v>13244.4</v>
      </c>
      <c r="Q165" s="1"/>
      <c r="R165" s="5">
        <f t="shared" ref="R165:R169" si="81">IF(P$12=0,0,P165/P$12)</f>
        <v>7.2548983820137055E-3</v>
      </c>
      <c r="S165" s="1"/>
      <c r="T165" s="1">
        <f>SUM(OSRRefT22_18x_0)</f>
        <v>13422</v>
      </c>
      <c r="U165" s="1"/>
      <c r="V165" s="5">
        <f t="shared" ref="V165:V169" si="82">IF(T$12=0,0,T165/T$12)</f>
        <v>5.8346907183555409E-3</v>
      </c>
      <c r="W165" s="1"/>
      <c r="X165" s="1">
        <f t="shared" ref="X165:X169" si="83">+P165-T165</f>
        <v>-177.60000000000036</v>
      </c>
      <c r="Y165" s="1"/>
      <c r="Z165" s="5">
        <f t="shared" ref="Z165:Z169" si="84">IF(T165=0,0,X165/T165)</f>
        <v>-1.3232007152436326E-2</v>
      </c>
    </row>
    <row r="166" spans="1:26" s="24" customFormat="1" hidden="1" outlineLevel="2" x14ac:dyDescent="0.25">
      <c r="A166" s="27"/>
      <c r="B166" s="11" t="str">
        <f>CONCATENATE("          ", "6252", " - ", "ROYALTY DUE CSTV")</f>
        <v xml:space="preserve">          6252 - ROYALTY DUE CSTV</v>
      </c>
      <c r="C166" s="11"/>
      <c r="D166" s="6"/>
      <c r="E166" s="2"/>
      <c r="F166" s="7">
        <f t="shared" si="77"/>
        <v>0</v>
      </c>
      <c r="G166" s="2"/>
      <c r="H166" s="6">
        <v>1085</v>
      </c>
      <c r="I166" s="2"/>
      <c r="J166" s="7">
        <f t="shared" si="78"/>
        <v>5.4295119244091852E-4</v>
      </c>
      <c r="K166" s="2"/>
      <c r="L166" s="6">
        <f t="shared" si="79"/>
        <v>-1085</v>
      </c>
      <c r="M166" s="2"/>
      <c r="N166" s="7">
        <f t="shared" si="80"/>
        <v>-1</v>
      </c>
      <c r="O166" s="11"/>
      <c r="P166" s="6"/>
      <c r="Q166" s="2"/>
      <c r="R166" s="7">
        <f t="shared" si="81"/>
        <v>0</v>
      </c>
      <c r="S166" s="2"/>
      <c r="T166" s="6">
        <v>2170</v>
      </c>
      <c r="U166" s="2"/>
      <c r="V166" s="7">
        <f t="shared" si="82"/>
        <v>9.4332281767482663E-4</v>
      </c>
      <c r="W166" s="2"/>
      <c r="X166" s="6">
        <f t="shared" si="83"/>
        <v>-2170</v>
      </c>
      <c r="Y166" s="2"/>
      <c r="Z166" s="7">
        <f t="shared" si="84"/>
        <v>-1</v>
      </c>
    </row>
    <row r="167" spans="1:26" s="24" customFormat="1" hidden="1" outlineLevel="2" x14ac:dyDescent="0.25">
      <c r="A167" s="27"/>
      <c r="B167" s="11" t="str">
        <f>CONCATENATE("          ", "6253", " - ", "ROYALTY DUE ATHLETICS-LRG")</f>
        <v xml:space="preserve">          6253 - ROYALTY DUE ATHLETICS-LRG</v>
      </c>
      <c r="C167" s="11"/>
      <c r="D167" s="6">
        <v>2250</v>
      </c>
      <c r="E167" s="2"/>
      <c r="F167" s="7">
        <f t="shared" si="77"/>
        <v>1.4080865761217764E-3</v>
      </c>
      <c r="G167" s="2"/>
      <c r="H167" s="6">
        <v>4037</v>
      </c>
      <c r="I167" s="2"/>
      <c r="J167" s="7">
        <f t="shared" si="78"/>
        <v>2.0201787685566706E-3</v>
      </c>
      <c r="K167" s="2"/>
      <c r="L167" s="6">
        <f t="shared" si="79"/>
        <v>-1787</v>
      </c>
      <c r="M167" s="2"/>
      <c r="N167" s="7">
        <f t="shared" si="80"/>
        <v>-0.44265543720584594</v>
      </c>
      <c r="O167" s="11"/>
      <c r="P167" s="6">
        <v>7922.2</v>
      </c>
      <c r="Q167" s="2"/>
      <c r="R167" s="7">
        <f t="shared" si="81"/>
        <v>4.3395515056921397E-3</v>
      </c>
      <c r="S167" s="2"/>
      <c r="T167" s="6">
        <v>8074</v>
      </c>
      <c r="U167" s="2"/>
      <c r="V167" s="7">
        <f t="shared" si="82"/>
        <v>3.5098564193117741E-3</v>
      </c>
      <c r="W167" s="2"/>
      <c r="X167" s="6">
        <f t="shared" si="83"/>
        <v>-151.80000000000018</v>
      </c>
      <c r="Y167" s="2"/>
      <c r="Z167" s="7">
        <f t="shared" si="84"/>
        <v>-1.8801089918256152E-2</v>
      </c>
    </row>
    <row r="168" spans="1:26" s="24" customFormat="1" hidden="1" outlineLevel="2" x14ac:dyDescent="0.25">
      <c r="A168" s="27"/>
      <c r="B168" s="11" t="str">
        <f>CONCATENATE("          ", "6254", " - ", "ROYALTY &amp; COMMISSIONS")</f>
        <v xml:space="preserve">          6254 - ROYALTY &amp; COMMISSIONS</v>
      </c>
      <c r="C168" s="11"/>
      <c r="D168" s="6"/>
      <c r="E168" s="2"/>
      <c r="F168" s="7">
        <f t="shared" si="77"/>
        <v>0</v>
      </c>
      <c r="G168" s="2"/>
      <c r="H168" s="6">
        <v>1149</v>
      </c>
      <c r="I168" s="2"/>
      <c r="J168" s="7">
        <f t="shared" si="78"/>
        <v>5.7497780655724911E-4</v>
      </c>
      <c r="K168" s="2"/>
      <c r="L168" s="6">
        <f t="shared" si="79"/>
        <v>-1149</v>
      </c>
      <c r="M168" s="2"/>
      <c r="N168" s="7">
        <f t="shared" si="80"/>
        <v>-1</v>
      </c>
      <c r="O168" s="11"/>
      <c r="P168" s="6"/>
      <c r="Q168" s="2"/>
      <c r="R168" s="7">
        <f t="shared" si="81"/>
        <v>0</v>
      </c>
      <c r="S168" s="2"/>
      <c r="T168" s="6">
        <v>2298</v>
      </c>
      <c r="U168" s="2"/>
      <c r="V168" s="7">
        <f t="shared" si="82"/>
        <v>9.9896582258836471E-4</v>
      </c>
      <c r="W168" s="2"/>
      <c r="X168" s="6">
        <f t="shared" si="83"/>
        <v>-2298</v>
      </c>
      <c r="Y168" s="2"/>
      <c r="Z168" s="7">
        <f t="shared" si="84"/>
        <v>-1</v>
      </c>
    </row>
    <row r="169" spans="1:26" s="24" customFormat="1" hidden="1" outlineLevel="2" x14ac:dyDescent="0.25">
      <c r="A169" s="27"/>
      <c r="B169" s="11" t="str">
        <f>CONCATENATE("          ", "6259", " - ", "ROYALTY &amp; COMMISSIONS")</f>
        <v xml:space="preserve">          6259 - ROYALTY &amp; COMMISSIONS</v>
      </c>
      <c r="C169" s="11"/>
      <c r="D169" s="6">
        <v>4.6500000000000004</v>
      </c>
      <c r="E169" s="2"/>
      <c r="F169" s="7">
        <f t="shared" si="77"/>
        <v>2.9100455906516717E-6</v>
      </c>
      <c r="G169" s="2"/>
      <c r="H169" s="6">
        <v>730</v>
      </c>
      <c r="I169" s="2"/>
      <c r="J169" s="7">
        <f t="shared" si="78"/>
        <v>3.6530356726439673E-4</v>
      </c>
      <c r="K169" s="2"/>
      <c r="L169" s="6">
        <f t="shared" si="79"/>
        <v>-725.35</v>
      </c>
      <c r="M169" s="2"/>
      <c r="N169" s="7">
        <f t="shared" si="80"/>
        <v>-0.99363013698630143</v>
      </c>
      <c r="O169" s="11"/>
      <c r="P169" s="6">
        <v>5322.2</v>
      </c>
      <c r="Q169" s="2"/>
      <c r="R169" s="7">
        <f t="shared" si="81"/>
        <v>2.9153468763215653E-3</v>
      </c>
      <c r="S169" s="2"/>
      <c r="T169" s="6">
        <v>880</v>
      </c>
      <c r="U169" s="2"/>
      <c r="V169" s="7">
        <f t="shared" si="82"/>
        <v>3.8254565878057483E-4</v>
      </c>
      <c r="W169" s="2"/>
      <c r="X169" s="6">
        <f t="shared" si="83"/>
        <v>4442.2</v>
      </c>
      <c r="Y169" s="2"/>
      <c r="Z169" s="7">
        <f t="shared" si="84"/>
        <v>5.0479545454545454</v>
      </c>
    </row>
    <row r="170" spans="1:26" s="29" customFormat="1" outlineLevel="1" collapsed="1" x14ac:dyDescent="0.25">
      <c r="A170" s="28"/>
      <c r="B170" s="14" t="str">
        <f>CONCATENATE("     ","Services                                          ")</f>
        <v xml:space="preserve">     Services                                          </v>
      </c>
      <c r="C170" s="14"/>
      <c r="D170" s="1">
        <f>SUM(OSRRefD22_19x_0)</f>
        <v>-347.38000000000005</v>
      </c>
      <c r="E170" s="1"/>
      <c r="F170" s="5">
        <f t="shared" ref="F170:F175" si="85">IF(D$12=0,0,D170/D$12)</f>
        <v>-2.1739605102808122E-4</v>
      </c>
      <c r="G170" s="1"/>
      <c r="H170" s="1">
        <f>SUM(OSRRefH22_19x_0)</f>
        <v>5478</v>
      </c>
      <c r="I170" s="1"/>
      <c r="J170" s="5">
        <f t="shared" ref="J170:J175" si="86">IF(H$12=0,0,H170/H$12)</f>
        <v>2.7412780020196785E-3</v>
      </c>
      <c r="K170" s="1"/>
      <c r="L170" s="1">
        <f t="shared" ref="L170:L175" si="87">+D170-H170</f>
        <v>-5825.38</v>
      </c>
      <c r="M170" s="1"/>
      <c r="N170" s="5">
        <f t="shared" ref="N170:N175" si="88">IF(H170=0,0,L170/H170)</f>
        <v>-1.0634136546184738</v>
      </c>
      <c r="O170" s="14"/>
      <c r="P170" s="1">
        <f>SUM(OSRRefP22_19x_0)</f>
        <v>2731.76</v>
      </c>
      <c r="Q170" s="1"/>
      <c r="R170" s="5">
        <f t="shared" ref="R170:R175" si="89">IF(P$12=0,0,P170/P$12)</f>
        <v>1.4963789378189846E-3</v>
      </c>
      <c r="S170" s="1"/>
      <c r="T170" s="1">
        <f>SUM(OSRRefT22_19x_0)</f>
        <v>10532</v>
      </c>
      <c r="U170" s="1"/>
      <c r="V170" s="5">
        <f t="shared" ref="V170:V175" si="90">IF(T$12=0,0,T170/T$12)</f>
        <v>4.5783759980420622E-3</v>
      </c>
      <c r="W170" s="1"/>
      <c r="X170" s="1">
        <f t="shared" ref="X170:X175" si="91">+P170-T170</f>
        <v>-7800.24</v>
      </c>
      <c r="Y170" s="1"/>
      <c r="Z170" s="5">
        <f t="shared" ref="Z170:Z175" si="92">IF(T170=0,0,X170/T170)</f>
        <v>-0.74062286365362706</v>
      </c>
    </row>
    <row r="171" spans="1:26" s="24" customFormat="1" hidden="1" outlineLevel="2" x14ac:dyDescent="0.25">
      <c r="A171" s="27"/>
      <c r="B171" s="11" t="str">
        <f>CONCATENATE("          ", "6282", " - ", "JANITORIAL/EXTERMINATOR EXPENS")</f>
        <v xml:space="preserve">          6282 - JANITORIAL/EXTERMINATOR EXPENS</v>
      </c>
      <c r="C171" s="11"/>
      <c r="D171" s="6">
        <v>-429.22</v>
      </c>
      <c r="E171" s="2"/>
      <c r="F171" s="7">
        <f t="shared" si="85"/>
        <v>-2.6861285342355063E-4</v>
      </c>
      <c r="G171" s="2"/>
      <c r="H171" s="6">
        <v>4157</v>
      </c>
      <c r="I171" s="2"/>
      <c r="J171" s="7">
        <f t="shared" si="86"/>
        <v>2.0802286700247908E-3</v>
      </c>
      <c r="K171" s="2"/>
      <c r="L171" s="6">
        <f t="shared" si="87"/>
        <v>-4586.22</v>
      </c>
      <c r="M171" s="2"/>
      <c r="N171" s="7">
        <f t="shared" si="88"/>
        <v>-1.1032523454414243</v>
      </c>
      <c r="O171" s="11"/>
      <c r="P171" s="6">
        <v>-292.72000000000003</v>
      </c>
      <c r="Q171" s="2"/>
      <c r="R171" s="7">
        <f t="shared" si="89"/>
        <v>-1.6034353042667482E-4</v>
      </c>
      <c r="S171" s="2"/>
      <c r="T171" s="6">
        <v>8314</v>
      </c>
      <c r="U171" s="2"/>
      <c r="V171" s="7">
        <f t="shared" si="90"/>
        <v>3.6141870535246583E-3</v>
      </c>
      <c r="W171" s="2"/>
      <c r="X171" s="6">
        <f t="shared" si="91"/>
        <v>-8606.7199999999993</v>
      </c>
      <c r="Y171" s="2"/>
      <c r="Z171" s="7">
        <f t="shared" si="92"/>
        <v>-1.0352080827519845</v>
      </c>
    </row>
    <row r="172" spans="1:26" s="24" customFormat="1" hidden="1" outlineLevel="2" x14ac:dyDescent="0.25">
      <c r="A172" s="27"/>
      <c r="B172" s="11" t="str">
        <f>CONCATENATE("          ", "6283", " - ", "PLANT SERVICE")</f>
        <v xml:space="preserve">          6283 - PLANT SERVICE</v>
      </c>
      <c r="C172" s="11"/>
      <c r="D172" s="6"/>
      <c r="E172" s="2"/>
      <c r="F172" s="7">
        <f t="shared" si="85"/>
        <v>0</v>
      </c>
      <c r="G172" s="2"/>
      <c r="H172" s="6">
        <v>0</v>
      </c>
      <c r="I172" s="2"/>
      <c r="J172" s="7">
        <f t="shared" si="86"/>
        <v>0</v>
      </c>
      <c r="K172" s="2"/>
      <c r="L172" s="6">
        <f t="shared" si="87"/>
        <v>0</v>
      </c>
      <c r="M172" s="2"/>
      <c r="N172" s="7">
        <f t="shared" si="88"/>
        <v>0</v>
      </c>
      <c r="O172" s="11"/>
      <c r="P172" s="6">
        <v>130</v>
      </c>
      <c r="Q172" s="2"/>
      <c r="R172" s="7">
        <f t="shared" si="89"/>
        <v>7.1210231468528715E-5</v>
      </c>
      <c r="S172" s="2"/>
      <c r="T172" s="6">
        <v>0</v>
      </c>
      <c r="U172" s="2"/>
      <c r="V172" s="7">
        <f t="shared" si="90"/>
        <v>0</v>
      </c>
      <c r="W172" s="2"/>
      <c r="X172" s="6">
        <f t="shared" si="91"/>
        <v>130</v>
      </c>
      <c r="Y172" s="2"/>
      <c r="Z172" s="7">
        <f t="shared" si="92"/>
        <v>0</v>
      </c>
    </row>
    <row r="173" spans="1:26" s="24" customFormat="1" hidden="1" outlineLevel="2" x14ac:dyDescent="0.25">
      <c r="A173" s="27"/>
      <c r="B173" s="11" t="str">
        <f>CONCATENATE("          ", "6284", " - ", "TRASH REMOVAL EXPENSE")</f>
        <v xml:space="preserve">          6284 - TRASH REMOVAL EXPENSE</v>
      </c>
      <c r="C173" s="11"/>
      <c r="D173" s="6">
        <v>142.57</v>
      </c>
      <c r="E173" s="2"/>
      <c r="F173" s="7">
        <f t="shared" si="85"/>
        <v>8.9222623625636287E-5</v>
      </c>
      <c r="G173" s="2"/>
      <c r="H173" s="6">
        <v>55</v>
      </c>
      <c r="I173" s="2"/>
      <c r="J173" s="7">
        <f t="shared" si="86"/>
        <v>2.7522871506221673E-5</v>
      </c>
      <c r="K173" s="2"/>
      <c r="L173" s="6">
        <f t="shared" si="87"/>
        <v>87.57</v>
      </c>
      <c r="M173" s="2"/>
      <c r="N173" s="7">
        <f t="shared" si="88"/>
        <v>1.5921818181818181</v>
      </c>
      <c r="O173" s="11"/>
      <c r="P173" s="6">
        <v>285.14</v>
      </c>
      <c r="Q173" s="2"/>
      <c r="R173" s="7">
        <f t="shared" si="89"/>
        <v>1.5619142616104829E-4</v>
      </c>
      <c r="S173" s="2"/>
      <c r="T173" s="6">
        <v>347</v>
      </c>
      <c r="U173" s="2"/>
      <c r="V173" s="7">
        <f t="shared" si="90"/>
        <v>1.5084470863279485E-4</v>
      </c>
      <c r="W173" s="2"/>
      <c r="X173" s="6">
        <f t="shared" si="91"/>
        <v>-61.860000000000014</v>
      </c>
      <c r="Y173" s="2"/>
      <c r="Z173" s="7">
        <f t="shared" si="92"/>
        <v>-0.17827089337175797</v>
      </c>
    </row>
    <row r="174" spans="1:26" s="24" customFormat="1" hidden="1" outlineLevel="2" x14ac:dyDescent="0.25">
      <c r="A174" s="27"/>
      <c r="B174" s="11" t="str">
        <f>CONCATENATE("          ", "6285", " - ", "JANITORIAL SERVICES")</f>
        <v xml:space="preserve">          6285 - JANITORIAL SERVICES</v>
      </c>
      <c r="C174" s="11"/>
      <c r="D174" s="6">
        <v>-60.73</v>
      </c>
      <c r="E174" s="2"/>
      <c r="F174" s="7">
        <f t="shared" si="85"/>
        <v>-3.8005821230166877E-5</v>
      </c>
      <c r="G174" s="2"/>
      <c r="H174" s="6">
        <v>1124</v>
      </c>
      <c r="I174" s="2"/>
      <c r="J174" s="7">
        <f t="shared" si="86"/>
        <v>5.6246741041805748E-4</v>
      </c>
      <c r="K174" s="2"/>
      <c r="L174" s="6">
        <f t="shared" si="87"/>
        <v>-1184.73</v>
      </c>
      <c r="M174" s="2"/>
      <c r="N174" s="7">
        <f t="shared" si="88"/>
        <v>-1.0540302491103204</v>
      </c>
      <c r="O174" s="11"/>
      <c r="P174" s="6">
        <v>2609.34</v>
      </c>
      <c r="Q174" s="2"/>
      <c r="R174" s="7">
        <f t="shared" si="89"/>
        <v>1.4293208106160825E-3</v>
      </c>
      <c r="S174" s="2"/>
      <c r="T174" s="6">
        <v>1687</v>
      </c>
      <c r="U174" s="2"/>
      <c r="V174" s="7">
        <f t="shared" si="90"/>
        <v>7.3335741632139751E-4</v>
      </c>
      <c r="W174" s="2"/>
      <c r="X174" s="6">
        <f t="shared" si="91"/>
        <v>922.34000000000015</v>
      </c>
      <c r="Y174" s="2"/>
      <c r="Z174" s="7">
        <f t="shared" si="92"/>
        <v>0.54673384706579731</v>
      </c>
    </row>
    <row r="175" spans="1:26" s="24" customFormat="1" hidden="1" outlineLevel="2" x14ac:dyDescent="0.25">
      <c r="A175" s="27"/>
      <c r="B175" s="11" t="str">
        <f>CONCATENATE("          ", "6286", " - ", "LAUNDRY EXPENSE")</f>
        <v xml:space="preserve">          6286 - LAUNDRY EXPENSE</v>
      </c>
      <c r="C175" s="11"/>
      <c r="D175" s="6"/>
      <c r="E175" s="2"/>
      <c r="F175" s="7">
        <f t="shared" si="85"/>
        <v>0</v>
      </c>
      <c r="G175" s="2"/>
      <c r="H175" s="6">
        <v>142</v>
      </c>
      <c r="I175" s="2"/>
      <c r="J175" s="7">
        <f t="shared" si="86"/>
        <v>7.1059050070608682E-5</v>
      </c>
      <c r="K175" s="2"/>
      <c r="L175" s="6">
        <f t="shared" si="87"/>
        <v>-142</v>
      </c>
      <c r="M175" s="2"/>
      <c r="N175" s="7">
        <f t="shared" si="88"/>
        <v>-1</v>
      </c>
      <c r="O175" s="11"/>
      <c r="P175" s="6"/>
      <c r="Q175" s="2"/>
      <c r="R175" s="7">
        <f t="shared" si="89"/>
        <v>0</v>
      </c>
      <c r="S175" s="2"/>
      <c r="T175" s="6">
        <v>184</v>
      </c>
      <c r="U175" s="2"/>
      <c r="V175" s="7">
        <f t="shared" si="90"/>
        <v>7.9986819563211109E-5</v>
      </c>
      <c r="W175" s="2"/>
      <c r="X175" s="6">
        <f t="shared" si="91"/>
        <v>-184</v>
      </c>
      <c r="Y175" s="2"/>
      <c r="Z175" s="7">
        <f t="shared" si="92"/>
        <v>-1</v>
      </c>
    </row>
    <row r="176" spans="1:26" s="29" customFormat="1" outlineLevel="1" collapsed="1" x14ac:dyDescent="0.25">
      <c r="A176" s="28"/>
      <c r="B176" s="14" t="str">
        <f>CONCATENATE("     ","Subscriptions &amp; Dues                              ")</f>
        <v xml:space="preserve">     Subscriptions &amp; Dues                              </v>
      </c>
      <c r="C176" s="14"/>
      <c r="D176" s="1">
        <f>SUM(OSRRefD22_20x_0)</f>
        <v>270</v>
      </c>
      <c r="E176" s="1"/>
      <c r="F176" s="5">
        <f t="shared" ref="F176:F178" si="93">IF(D$12=0,0,D176/D$12)</f>
        <v>1.6897038913461318E-4</v>
      </c>
      <c r="G176" s="1"/>
      <c r="H176" s="1">
        <f>SUM(OSRRefH22_20x_0)</f>
        <v>1276</v>
      </c>
      <c r="I176" s="1"/>
      <c r="J176" s="5">
        <f t="shared" ref="J176:J178" si="94">IF(H$12=0,0,H176/H$12)</f>
        <v>6.3853061894434283E-4</v>
      </c>
      <c r="K176" s="1"/>
      <c r="L176" s="1">
        <f t="shared" ref="L176:L178" si="95">+D176-H176</f>
        <v>-1006</v>
      </c>
      <c r="M176" s="1"/>
      <c r="N176" s="5">
        <f t="shared" ref="N176:N178" si="96">IF(H176=0,0,L176/H176)</f>
        <v>-0.78840125391849525</v>
      </c>
      <c r="O176" s="14"/>
      <c r="P176" s="1">
        <f>SUM(OSRRefP22_20x_0)</f>
        <v>635</v>
      </c>
      <c r="Q176" s="1"/>
      <c r="R176" s="5">
        <f t="shared" ref="R176:R178" si="97">IF(P$12=0,0,P176/P$12)</f>
        <v>3.4783459217319795E-4</v>
      </c>
      <c r="S176" s="1"/>
      <c r="T176" s="1">
        <f>SUM(OSRRefT22_20x_0)</f>
        <v>3947</v>
      </c>
      <c r="U176" s="1"/>
      <c r="V176" s="5">
        <f t="shared" ref="V176:V178" si="98">IF(T$12=0,0,T176/T$12)</f>
        <v>1.7158042218260556E-3</v>
      </c>
      <c r="W176" s="1"/>
      <c r="X176" s="1">
        <f t="shared" ref="X176:X178" si="99">+P176-T176</f>
        <v>-3312</v>
      </c>
      <c r="Y176" s="1"/>
      <c r="Z176" s="5">
        <f t="shared" ref="Z176:Z178" si="100">IF(T176=0,0,X176/T176)</f>
        <v>-0.83911831770965295</v>
      </c>
    </row>
    <row r="177" spans="1:26" s="24" customFormat="1" hidden="1" outlineLevel="2" x14ac:dyDescent="0.25">
      <c r="A177" s="27"/>
      <c r="B177" s="11" t="str">
        <f>CONCATENATE("          ", "6258", " - ", "MEMBERSHIP DUES")</f>
        <v xml:space="preserve">          6258 - MEMBERSHIP DUES</v>
      </c>
      <c r="C177" s="11"/>
      <c r="D177" s="6">
        <v>270</v>
      </c>
      <c r="E177" s="2"/>
      <c r="F177" s="7">
        <f t="shared" si="93"/>
        <v>1.6897038913461318E-4</v>
      </c>
      <c r="G177" s="2"/>
      <c r="H177" s="6">
        <v>1100</v>
      </c>
      <c r="I177" s="2"/>
      <c r="J177" s="7">
        <f t="shared" si="94"/>
        <v>5.5045743012443343E-4</v>
      </c>
      <c r="K177" s="2"/>
      <c r="L177" s="6">
        <f t="shared" si="95"/>
        <v>-830</v>
      </c>
      <c r="M177" s="2"/>
      <c r="N177" s="7">
        <f t="shared" si="96"/>
        <v>-0.75454545454545452</v>
      </c>
      <c r="O177" s="11"/>
      <c r="P177" s="6">
        <v>560</v>
      </c>
      <c r="Q177" s="2"/>
      <c r="R177" s="7">
        <f t="shared" si="97"/>
        <v>3.0675176632596982E-4</v>
      </c>
      <c r="S177" s="2"/>
      <c r="T177" s="6">
        <v>3595</v>
      </c>
      <c r="U177" s="2"/>
      <c r="V177" s="7">
        <f t="shared" si="98"/>
        <v>1.5627859583138258E-3</v>
      </c>
      <c r="W177" s="2"/>
      <c r="X177" s="6">
        <f t="shared" si="99"/>
        <v>-3035</v>
      </c>
      <c r="Y177" s="2"/>
      <c r="Z177" s="7">
        <f t="shared" si="100"/>
        <v>-0.84422809457579973</v>
      </c>
    </row>
    <row r="178" spans="1:26" s="24" customFormat="1" hidden="1" outlineLevel="2" x14ac:dyDescent="0.25">
      <c r="A178" s="27"/>
      <c r="B178" s="11" t="str">
        <f>CONCATENATE("          ", "6275", " - ", "SUBSCRIPTIONS")</f>
        <v xml:space="preserve">          6275 - SUBSCRIPTIONS</v>
      </c>
      <c r="C178" s="11"/>
      <c r="D178" s="6"/>
      <c r="E178" s="2"/>
      <c r="F178" s="7">
        <f t="shared" si="93"/>
        <v>0</v>
      </c>
      <c r="G178" s="2"/>
      <c r="H178" s="6">
        <v>176</v>
      </c>
      <c r="I178" s="2"/>
      <c r="J178" s="7">
        <f t="shared" si="94"/>
        <v>8.8073188819909356E-5</v>
      </c>
      <c r="K178" s="2"/>
      <c r="L178" s="6">
        <f t="shared" si="95"/>
        <v>-176</v>
      </c>
      <c r="M178" s="2"/>
      <c r="N178" s="7">
        <f t="shared" si="96"/>
        <v>-1</v>
      </c>
      <c r="O178" s="11"/>
      <c r="P178" s="6">
        <v>75</v>
      </c>
      <c r="Q178" s="2"/>
      <c r="R178" s="7">
        <f t="shared" si="97"/>
        <v>4.1082825847228104E-5</v>
      </c>
      <c r="S178" s="2"/>
      <c r="T178" s="6">
        <v>352</v>
      </c>
      <c r="U178" s="2"/>
      <c r="V178" s="7">
        <f t="shared" si="98"/>
        <v>1.5301826351222993E-4</v>
      </c>
      <c r="W178" s="2"/>
      <c r="X178" s="6">
        <f t="shared" si="99"/>
        <v>-277</v>
      </c>
      <c r="Y178" s="2"/>
      <c r="Z178" s="7">
        <f t="shared" si="100"/>
        <v>-0.78693181818181823</v>
      </c>
    </row>
    <row r="179" spans="1:26" s="29" customFormat="1" outlineLevel="1" collapsed="1" x14ac:dyDescent="0.25">
      <c r="A179" s="28"/>
      <c r="B179" s="14" t="str">
        <f>CONCATENATE("     ","Supplies                                          ")</f>
        <v xml:space="preserve">     Supplies                                          </v>
      </c>
      <c r="C179" s="14"/>
      <c r="D179" s="1">
        <f>SUM(OSRRefD22_21x_0)</f>
        <v>8139.619999999999</v>
      </c>
      <c r="E179" s="1"/>
      <c r="F179" s="5">
        <f t="shared" ref="F179:F188" si="101">IF(D$12=0,0,D179/D$12)</f>
        <v>5.0939065141032587E-3</v>
      </c>
      <c r="G179" s="1"/>
      <c r="H179" s="1">
        <f>SUM(OSRRefH22_21x_0)</f>
        <v>40915</v>
      </c>
      <c r="I179" s="1"/>
      <c r="J179" s="5">
        <f t="shared" ref="J179:J188" si="102">IF(H$12=0,0,H179/H$12)</f>
        <v>2.0474514321401086E-2</v>
      </c>
      <c r="K179" s="1"/>
      <c r="L179" s="1">
        <f t="shared" ref="L179:L188" si="103">+D179-H179</f>
        <v>-32775.380000000005</v>
      </c>
      <c r="M179" s="1"/>
      <c r="N179" s="5">
        <f t="shared" ref="N179:N188" si="104">IF(H179=0,0,L179/H179)</f>
        <v>-0.8010602468532324</v>
      </c>
      <c r="O179" s="14"/>
      <c r="P179" s="1">
        <f>SUM(OSRRefP22_21x_0)</f>
        <v>19866.809999999998</v>
      </c>
      <c r="Q179" s="1"/>
      <c r="R179" s="5">
        <f t="shared" ref="R179:R188" si="105">IF(P$12=0,0,P179/P$12)</f>
        <v>1.0882462604932929E-2</v>
      </c>
      <c r="S179" s="1"/>
      <c r="T179" s="1">
        <f>SUM(OSRRefT22_21x_0)</f>
        <v>48087</v>
      </c>
      <c r="U179" s="1"/>
      <c r="V179" s="5">
        <f t="shared" ref="V179:V188" si="106">IF(T$12=0,0,T179/T$12)</f>
        <v>2.090394669747898E-2</v>
      </c>
      <c r="W179" s="1"/>
      <c r="X179" s="1">
        <f t="shared" ref="X179:X188" si="107">+P179-T179</f>
        <v>-28220.190000000002</v>
      </c>
      <c r="Y179" s="1"/>
      <c r="Z179" s="5">
        <f t="shared" ref="Z179:Z188" si="108">IF(T179=0,0,X179/T179)</f>
        <v>-0.58685694678395417</v>
      </c>
    </row>
    <row r="180" spans="1:26" s="24" customFormat="1" hidden="1" outlineLevel="2" x14ac:dyDescent="0.25">
      <c r="A180" s="27"/>
      <c r="B180" s="11" t="str">
        <f>CONCATENATE("          ", "6234", " - ", "EXPENDABLE SUPPLIES &amp; EQUIPMEN")</f>
        <v xml:space="preserve">          6234 - EXPENDABLE SUPPLIES &amp; EQUIPMEN</v>
      </c>
      <c r="C180" s="11"/>
      <c r="D180" s="6"/>
      <c r="E180" s="2"/>
      <c r="F180" s="7">
        <f t="shared" si="101"/>
        <v>0</v>
      </c>
      <c r="G180" s="2"/>
      <c r="H180" s="6">
        <v>150</v>
      </c>
      <c r="I180" s="2"/>
      <c r="J180" s="7">
        <f t="shared" si="102"/>
        <v>7.5062376835150019E-5</v>
      </c>
      <c r="K180" s="2"/>
      <c r="L180" s="6">
        <f t="shared" si="103"/>
        <v>-150</v>
      </c>
      <c r="M180" s="2"/>
      <c r="N180" s="7">
        <f t="shared" si="104"/>
        <v>-1</v>
      </c>
      <c r="O180" s="11"/>
      <c r="P180" s="6"/>
      <c r="Q180" s="2"/>
      <c r="R180" s="7">
        <f t="shared" si="105"/>
        <v>0</v>
      </c>
      <c r="S180" s="2"/>
      <c r="T180" s="6">
        <v>300</v>
      </c>
      <c r="U180" s="2"/>
      <c r="V180" s="7">
        <f t="shared" si="106"/>
        <v>1.3041329276610507E-4</v>
      </c>
      <c r="W180" s="2"/>
      <c r="X180" s="6">
        <f t="shared" si="107"/>
        <v>-300</v>
      </c>
      <c r="Y180" s="2"/>
      <c r="Z180" s="7">
        <f t="shared" si="108"/>
        <v>-1</v>
      </c>
    </row>
    <row r="181" spans="1:26" s="24" customFormat="1" hidden="1" outlineLevel="2" x14ac:dyDescent="0.25">
      <c r="A181" s="27"/>
      <c r="B181" s="11" t="str">
        <f>CONCATENATE("          ", "6235", " - ", "COVID-19 EXPENSES")</f>
        <v xml:space="preserve">          6235 - COVID-19 EXPENSES</v>
      </c>
      <c r="C181" s="11"/>
      <c r="D181" s="6">
        <v>621.78</v>
      </c>
      <c r="E181" s="2"/>
      <c r="F181" s="7">
        <f t="shared" si="101"/>
        <v>3.8912003168933249E-4</v>
      </c>
      <c r="G181" s="2"/>
      <c r="H181" s="6">
        <v>31600</v>
      </c>
      <c r="I181" s="2"/>
      <c r="J181" s="7">
        <f t="shared" si="102"/>
        <v>1.5813140719938272E-2</v>
      </c>
      <c r="K181" s="2"/>
      <c r="L181" s="6">
        <f t="shared" si="103"/>
        <v>-30978.22</v>
      </c>
      <c r="M181" s="2"/>
      <c r="N181" s="7">
        <f t="shared" si="104"/>
        <v>-0.98032341772151899</v>
      </c>
      <c r="O181" s="11"/>
      <c r="P181" s="6">
        <v>6841.16</v>
      </c>
      <c r="Q181" s="2"/>
      <c r="R181" s="7">
        <f t="shared" si="105"/>
        <v>3.7473891316403066E-3</v>
      </c>
      <c r="S181" s="2"/>
      <c r="T181" s="6">
        <v>31900</v>
      </c>
      <c r="U181" s="2"/>
      <c r="V181" s="7">
        <f t="shared" si="106"/>
        <v>1.3867280130795839E-2</v>
      </c>
      <c r="W181" s="2"/>
      <c r="X181" s="6">
        <f t="shared" si="107"/>
        <v>-25058.84</v>
      </c>
      <c r="Y181" s="2"/>
      <c r="Z181" s="7">
        <f t="shared" si="108"/>
        <v>-0.78554357366771166</v>
      </c>
    </row>
    <row r="182" spans="1:26" s="24" customFormat="1" hidden="1" outlineLevel="2" x14ac:dyDescent="0.25">
      <c r="A182" s="27"/>
      <c r="B182" s="11" t="str">
        <f>CONCATENATE("          ", "6237", " - ", "JANITORIAL SUPPLIES")</f>
        <v xml:space="preserve">          6237 - JANITORIAL SUPPLIES</v>
      </c>
      <c r="C182" s="11"/>
      <c r="D182" s="6"/>
      <c r="E182" s="2"/>
      <c r="F182" s="7">
        <f t="shared" si="101"/>
        <v>0</v>
      </c>
      <c r="G182" s="2"/>
      <c r="H182" s="6">
        <v>260</v>
      </c>
      <c r="I182" s="2"/>
      <c r="J182" s="7">
        <f t="shared" si="102"/>
        <v>1.3010811984759337E-4</v>
      </c>
      <c r="K182" s="2"/>
      <c r="L182" s="6">
        <f t="shared" si="103"/>
        <v>-260</v>
      </c>
      <c r="M182" s="2"/>
      <c r="N182" s="7">
        <f t="shared" si="104"/>
        <v>-1</v>
      </c>
      <c r="O182" s="11"/>
      <c r="P182" s="6">
        <v>139.31</v>
      </c>
      <c r="Q182" s="2"/>
      <c r="R182" s="7">
        <f t="shared" si="105"/>
        <v>7.6309979583697962E-5</v>
      </c>
      <c r="S182" s="2"/>
      <c r="T182" s="6">
        <v>520</v>
      </c>
      <c r="U182" s="2"/>
      <c r="V182" s="7">
        <f t="shared" si="106"/>
        <v>2.2604970746124877E-4</v>
      </c>
      <c r="W182" s="2"/>
      <c r="X182" s="6">
        <f t="shared" si="107"/>
        <v>-380.69</v>
      </c>
      <c r="Y182" s="2"/>
      <c r="Z182" s="7">
        <f t="shared" si="108"/>
        <v>-0.7320961538461539</v>
      </c>
    </row>
    <row r="183" spans="1:26" s="24" customFormat="1" hidden="1" outlineLevel="2" x14ac:dyDescent="0.25">
      <c r="A183" s="27"/>
      <c r="B183" s="11" t="str">
        <f>CONCATENATE("          ", "6241", " - ", "OFFICE EXPENSE")</f>
        <v xml:space="preserve">          6241 - OFFICE EXPENSE</v>
      </c>
      <c r="C183" s="11"/>
      <c r="D183" s="6">
        <v>2334.83</v>
      </c>
      <c r="E183" s="2"/>
      <c r="F183" s="7">
        <f t="shared" si="101"/>
        <v>1.4611745691228476E-3</v>
      </c>
      <c r="G183" s="2"/>
      <c r="H183" s="6">
        <v>725</v>
      </c>
      <c r="I183" s="2"/>
      <c r="J183" s="7">
        <f t="shared" si="102"/>
        <v>3.6280148803655843E-4</v>
      </c>
      <c r="K183" s="2"/>
      <c r="L183" s="6">
        <f t="shared" si="103"/>
        <v>1609.83</v>
      </c>
      <c r="M183" s="2"/>
      <c r="N183" s="7">
        <f t="shared" si="104"/>
        <v>2.2204551724137929</v>
      </c>
      <c r="O183" s="11"/>
      <c r="P183" s="6">
        <v>2765.24</v>
      </c>
      <c r="Q183" s="2"/>
      <c r="R183" s="7">
        <f t="shared" si="105"/>
        <v>1.5147183112771872E-3</v>
      </c>
      <c r="S183" s="2"/>
      <c r="T183" s="6">
        <v>1150</v>
      </c>
      <c r="U183" s="2"/>
      <c r="V183" s="7">
        <f t="shared" si="106"/>
        <v>4.9991762227006946E-4</v>
      </c>
      <c r="W183" s="2"/>
      <c r="X183" s="6">
        <f t="shared" si="107"/>
        <v>1615.2399999999998</v>
      </c>
      <c r="Y183" s="2"/>
      <c r="Z183" s="7">
        <f t="shared" si="108"/>
        <v>1.4045565217391303</v>
      </c>
    </row>
    <row r="184" spans="1:26" s="24" customFormat="1" hidden="1" outlineLevel="2" x14ac:dyDescent="0.25">
      <c r="A184" s="27"/>
      <c r="B184" s="11" t="str">
        <f>CONCATENATE("          ", "6243", " - ", "PAPER SUPPLIES")</f>
        <v xml:space="preserve">          6243 - PAPER SUPPLIES</v>
      </c>
      <c r="C184" s="11"/>
      <c r="D184" s="6">
        <v>2044.69</v>
      </c>
      <c r="E184" s="2"/>
      <c r="F184" s="7">
        <f t="shared" si="101"/>
        <v>1.2796002405913046E-3</v>
      </c>
      <c r="G184" s="2"/>
      <c r="H184" s="6">
        <v>1743</v>
      </c>
      <c r="I184" s="2"/>
      <c r="J184" s="7">
        <f t="shared" si="102"/>
        <v>8.7222481882444326E-4</v>
      </c>
      <c r="K184" s="2"/>
      <c r="L184" s="6">
        <f t="shared" si="103"/>
        <v>301.69000000000005</v>
      </c>
      <c r="M184" s="2"/>
      <c r="N184" s="7">
        <f t="shared" si="104"/>
        <v>0.17308663224325879</v>
      </c>
      <c r="O184" s="11"/>
      <c r="P184" s="6">
        <v>3124.69</v>
      </c>
      <c r="Q184" s="2"/>
      <c r="R184" s="7">
        <f t="shared" si="105"/>
        <v>1.7116146012876692E-3</v>
      </c>
      <c r="S184" s="2"/>
      <c r="T184" s="6">
        <v>2493</v>
      </c>
      <c r="U184" s="2"/>
      <c r="V184" s="7">
        <f t="shared" si="106"/>
        <v>1.083734462886333E-3</v>
      </c>
      <c r="W184" s="2"/>
      <c r="X184" s="6">
        <f t="shared" si="107"/>
        <v>631.69000000000005</v>
      </c>
      <c r="Y184" s="2"/>
      <c r="Z184" s="7">
        <f t="shared" si="108"/>
        <v>0.25338547934215805</v>
      </c>
    </row>
    <row r="185" spans="1:26" s="24" customFormat="1" hidden="1" outlineLevel="2" x14ac:dyDescent="0.25">
      <c r="A185" s="27"/>
      <c r="B185" s="11" t="str">
        <f>CONCATENATE("          ", "6244", " - ", "SAFETY SUPPLY EXPENSE")</f>
        <v xml:space="preserve">          6244 - SAFETY SUPPLY EXPENSE</v>
      </c>
      <c r="C185" s="11"/>
      <c r="D185" s="6"/>
      <c r="E185" s="2"/>
      <c r="F185" s="7">
        <f t="shared" si="101"/>
        <v>0</v>
      </c>
      <c r="G185" s="2"/>
      <c r="H185" s="6">
        <v>0</v>
      </c>
      <c r="I185" s="2"/>
      <c r="J185" s="7">
        <f t="shared" si="102"/>
        <v>0</v>
      </c>
      <c r="K185" s="2"/>
      <c r="L185" s="6">
        <f t="shared" si="103"/>
        <v>0</v>
      </c>
      <c r="M185" s="2"/>
      <c r="N185" s="7">
        <f t="shared" si="104"/>
        <v>0</v>
      </c>
      <c r="O185" s="11"/>
      <c r="P185" s="6"/>
      <c r="Q185" s="2"/>
      <c r="R185" s="7">
        <f t="shared" si="105"/>
        <v>0</v>
      </c>
      <c r="S185" s="2"/>
      <c r="T185" s="6">
        <v>25</v>
      </c>
      <c r="U185" s="2"/>
      <c r="V185" s="7">
        <f t="shared" si="106"/>
        <v>1.0867774397175423E-5</v>
      </c>
      <c r="W185" s="2"/>
      <c r="X185" s="6">
        <f t="shared" si="107"/>
        <v>-25</v>
      </c>
      <c r="Y185" s="2"/>
      <c r="Z185" s="7">
        <f t="shared" si="108"/>
        <v>-1</v>
      </c>
    </row>
    <row r="186" spans="1:26" s="24" customFormat="1" hidden="1" outlineLevel="2" x14ac:dyDescent="0.25">
      <c r="A186" s="27"/>
      <c r="B186" s="11" t="str">
        <f>CONCATENATE("          ", "6245", " - ", "PRINTING")</f>
        <v xml:space="preserve">          6245 - PRINTING</v>
      </c>
      <c r="C186" s="11"/>
      <c r="D186" s="6">
        <v>1248</v>
      </c>
      <c r="E186" s="2"/>
      <c r="F186" s="7">
        <f t="shared" si="101"/>
        <v>7.8101868755554534E-4</v>
      </c>
      <c r="G186" s="2"/>
      <c r="H186" s="6">
        <v>750</v>
      </c>
      <c r="I186" s="2"/>
      <c r="J186" s="7">
        <f t="shared" si="102"/>
        <v>3.7531188417575011E-4</v>
      </c>
      <c r="K186" s="2"/>
      <c r="L186" s="6">
        <f t="shared" si="103"/>
        <v>498</v>
      </c>
      <c r="M186" s="2"/>
      <c r="N186" s="7">
        <f t="shared" si="104"/>
        <v>0.66400000000000003</v>
      </c>
      <c r="O186" s="11"/>
      <c r="P186" s="6">
        <v>-295.5</v>
      </c>
      <c r="Q186" s="2"/>
      <c r="R186" s="7">
        <f t="shared" si="105"/>
        <v>-1.6186633383807872E-4</v>
      </c>
      <c r="S186" s="2"/>
      <c r="T186" s="6">
        <v>1100</v>
      </c>
      <c r="U186" s="2"/>
      <c r="V186" s="7">
        <f t="shared" si="106"/>
        <v>4.7818207347571858E-4</v>
      </c>
      <c r="W186" s="2"/>
      <c r="X186" s="6">
        <f t="shared" si="107"/>
        <v>-1395.5</v>
      </c>
      <c r="Y186" s="2"/>
      <c r="Z186" s="7">
        <f t="shared" si="108"/>
        <v>-1.2686363636363636</v>
      </c>
    </row>
    <row r="187" spans="1:26" s="24" customFormat="1" hidden="1" outlineLevel="2" x14ac:dyDescent="0.25">
      <c r="A187" s="27"/>
      <c r="B187" s="11" t="str">
        <f>CONCATENATE("          ", "6247", " - ", "STORE SUPPLIES")</f>
        <v xml:space="preserve">          6247 - STORE SUPPLIES</v>
      </c>
      <c r="C187" s="11"/>
      <c r="D187" s="6">
        <v>1890.32</v>
      </c>
      <c r="E187" s="2"/>
      <c r="F187" s="7">
        <f t="shared" si="101"/>
        <v>1.1829929851442295E-3</v>
      </c>
      <c r="G187" s="2"/>
      <c r="H187" s="6">
        <v>3987</v>
      </c>
      <c r="I187" s="2"/>
      <c r="J187" s="7">
        <f t="shared" si="102"/>
        <v>1.9951579762782874E-3</v>
      </c>
      <c r="K187" s="2"/>
      <c r="L187" s="6">
        <f t="shared" si="103"/>
        <v>-2096.6800000000003</v>
      </c>
      <c r="M187" s="2"/>
      <c r="N187" s="7">
        <f t="shared" si="104"/>
        <v>-0.52587910709806884</v>
      </c>
      <c r="O187" s="11"/>
      <c r="P187" s="6">
        <v>7291.91</v>
      </c>
      <c r="Q187" s="2"/>
      <c r="R187" s="7">
        <f t="shared" si="105"/>
        <v>3.9942969149821478E-3</v>
      </c>
      <c r="S187" s="2"/>
      <c r="T187" s="6">
        <v>7399</v>
      </c>
      <c r="U187" s="2"/>
      <c r="V187" s="7">
        <f t="shared" si="106"/>
        <v>3.2164265105880381E-3</v>
      </c>
      <c r="W187" s="2"/>
      <c r="X187" s="6">
        <f t="shared" si="107"/>
        <v>-107.09000000000015</v>
      </c>
      <c r="Y187" s="2"/>
      <c r="Z187" s="7">
        <f t="shared" si="108"/>
        <v>-1.4473577510474409E-2</v>
      </c>
    </row>
    <row r="188" spans="1:26" s="24" customFormat="1" hidden="1" outlineLevel="2" x14ac:dyDescent="0.25">
      <c r="A188" s="27"/>
      <c r="B188" s="11" t="str">
        <f>CONCATENATE("          ", "6248", " - ", "UNIFORMS")</f>
        <v xml:space="preserve">          6248 - UNIFORMS</v>
      </c>
      <c r="C188" s="11"/>
      <c r="D188" s="6"/>
      <c r="E188" s="2"/>
      <c r="F188" s="7">
        <f t="shared" si="101"/>
        <v>0</v>
      </c>
      <c r="G188" s="2"/>
      <c r="H188" s="6">
        <v>1700</v>
      </c>
      <c r="I188" s="2"/>
      <c r="J188" s="7">
        <f t="shared" si="102"/>
        <v>8.5070693746503356E-4</v>
      </c>
      <c r="K188" s="2"/>
      <c r="L188" s="6">
        <f t="shared" si="103"/>
        <v>-1700</v>
      </c>
      <c r="M188" s="2"/>
      <c r="N188" s="7">
        <f t="shared" si="104"/>
        <v>-1</v>
      </c>
      <c r="O188" s="11"/>
      <c r="P188" s="6"/>
      <c r="Q188" s="2"/>
      <c r="R188" s="7">
        <f t="shared" si="105"/>
        <v>0</v>
      </c>
      <c r="S188" s="2"/>
      <c r="T188" s="6">
        <v>3200</v>
      </c>
      <c r="U188" s="2"/>
      <c r="V188" s="7">
        <f t="shared" si="106"/>
        <v>1.3910751228384541E-3</v>
      </c>
      <c r="W188" s="2"/>
      <c r="X188" s="6">
        <f t="shared" si="107"/>
        <v>-3200</v>
      </c>
      <c r="Y188" s="2"/>
      <c r="Z188" s="7">
        <f t="shared" si="108"/>
        <v>-1</v>
      </c>
    </row>
    <row r="189" spans="1:26" s="29" customFormat="1" outlineLevel="1" collapsed="1" x14ac:dyDescent="0.25">
      <c r="A189" s="28"/>
      <c r="B189" s="14" t="str">
        <f>CONCATENATE("     ","Telephone/Data Lines                              ")</f>
        <v xml:space="preserve">     Telephone/Data Lines                              </v>
      </c>
      <c r="C189" s="14"/>
      <c r="D189" s="1">
        <f>SUM(OSRRefD22_22x_0)</f>
        <v>2485.56</v>
      </c>
      <c r="E189" s="1"/>
      <c r="F189" s="5">
        <f t="shared" ref="F189:F191" si="109">IF(D$12=0,0,D189/D$12)</f>
        <v>1.5555038533978855E-3</v>
      </c>
      <c r="G189" s="1"/>
      <c r="H189" s="1">
        <f>SUM(OSRRefH22_22x_0)</f>
        <v>2930</v>
      </c>
      <c r="I189" s="1"/>
      <c r="J189" s="5">
        <f t="shared" ref="J189:J191" si="110">IF(H$12=0,0,H189/H$12)</f>
        <v>1.4662184275132638E-3</v>
      </c>
      <c r="K189" s="1"/>
      <c r="L189" s="1">
        <f t="shared" ref="L189:L191" si="111">+D189-H189</f>
        <v>-444.44000000000005</v>
      </c>
      <c r="M189" s="1"/>
      <c r="N189" s="5">
        <f t="shared" ref="N189:N191" si="112">IF(H189=0,0,L189/H189)</f>
        <v>-0.15168600682593858</v>
      </c>
      <c r="O189" s="14"/>
      <c r="P189" s="1">
        <f>SUM(OSRRefP22_22x_0)</f>
        <v>5247.62</v>
      </c>
      <c r="Q189" s="1"/>
      <c r="R189" s="5">
        <f t="shared" ref="R189:R191" si="113">IF(P$12=0,0,P189/P$12)</f>
        <v>2.8744941142990819E-3</v>
      </c>
      <c r="S189" s="1"/>
      <c r="T189" s="1">
        <f>SUM(OSRRefT22_22x_0)</f>
        <v>5607</v>
      </c>
      <c r="U189" s="1"/>
      <c r="V189" s="5">
        <f t="shared" ref="V189:V191" si="114">IF(T$12=0,0,T189/T$12)</f>
        <v>2.4374244417985037E-3</v>
      </c>
      <c r="W189" s="1"/>
      <c r="X189" s="1">
        <f t="shared" ref="X189:X191" si="115">+P189-T189</f>
        <v>-359.38000000000011</v>
      </c>
      <c r="Y189" s="1"/>
      <c r="Z189" s="5">
        <f t="shared" ref="Z189:Z191" si="116">IF(T189=0,0,X189/T189)</f>
        <v>-6.4094881398252201E-2</v>
      </c>
    </row>
    <row r="190" spans="1:26" s="24" customFormat="1" hidden="1" outlineLevel="2" x14ac:dyDescent="0.25">
      <c r="A190" s="27"/>
      <c r="B190" s="11" t="str">
        <f>CONCATENATE("          ", "6303", " - ", "DATA PHONE LINES")</f>
        <v xml:space="preserve">          6303 - DATA PHONE LINES</v>
      </c>
      <c r="C190" s="11"/>
      <c r="D190" s="6"/>
      <c r="E190" s="2"/>
      <c r="F190" s="7">
        <f t="shared" si="109"/>
        <v>0</v>
      </c>
      <c r="G190" s="2"/>
      <c r="H190" s="6">
        <v>865</v>
      </c>
      <c r="I190" s="2"/>
      <c r="J190" s="7">
        <f t="shared" si="110"/>
        <v>4.3285970641603175E-4</v>
      </c>
      <c r="K190" s="2"/>
      <c r="L190" s="6">
        <f t="shared" si="111"/>
        <v>-865</v>
      </c>
      <c r="M190" s="2"/>
      <c r="N190" s="7">
        <f t="shared" si="112"/>
        <v>-1</v>
      </c>
      <c r="O190" s="11"/>
      <c r="P190" s="6">
        <v>295</v>
      </c>
      <c r="Q190" s="2"/>
      <c r="R190" s="7">
        <f t="shared" si="113"/>
        <v>1.6159244833243054E-4</v>
      </c>
      <c r="S190" s="2"/>
      <c r="T190" s="6">
        <v>1727</v>
      </c>
      <c r="U190" s="2"/>
      <c r="V190" s="7">
        <f t="shared" si="114"/>
        <v>7.5074585535687814E-4</v>
      </c>
      <c r="W190" s="2"/>
      <c r="X190" s="6">
        <f t="shared" si="115"/>
        <v>-1432</v>
      </c>
      <c r="Y190" s="2"/>
      <c r="Z190" s="7">
        <f t="shared" si="116"/>
        <v>-0.82918355529820498</v>
      </c>
    </row>
    <row r="191" spans="1:26" s="24" customFormat="1" hidden="1" outlineLevel="2" x14ac:dyDescent="0.25">
      <c r="A191" s="27"/>
      <c r="B191" s="11" t="str">
        <f>CONCATENATE("          ", "6309", " - ", "TELEPHONE")</f>
        <v xml:space="preserve">          6309 - TELEPHONE</v>
      </c>
      <c r="C191" s="11"/>
      <c r="D191" s="6">
        <v>2485.56</v>
      </c>
      <c r="E191" s="2"/>
      <c r="F191" s="7">
        <f t="shared" si="109"/>
        <v>1.5555038533978855E-3</v>
      </c>
      <c r="G191" s="2"/>
      <c r="H191" s="6">
        <v>2065</v>
      </c>
      <c r="I191" s="2"/>
      <c r="J191" s="7">
        <f t="shared" si="110"/>
        <v>1.0333587210972319E-3</v>
      </c>
      <c r="K191" s="2"/>
      <c r="L191" s="6">
        <f t="shared" si="111"/>
        <v>420.55999999999995</v>
      </c>
      <c r="M191" s="2"/>
      <c r="N191" s="7">
        <f t="shared" si="112"/>
        <v>0.20366101694915251</v>
      </c>
      <c r="O191" s="11"/>
      <c r="P191" s="6">
        <v>4952.62</v>
      </c>
      <c r="Q191" s="2"/>
      <c r="R191" s="7">
        <f t="shared" si="113"/>
        <v>2.7129016659666514E-3</v>
      </c>
      <c r="S191" s="2"/>
      <c r="T191" s="6">
        <v>3880</v>
      </c>
      <c r="U191" s="2"/>
      <c r="V191" s="7">
        <f t="shared" si="114"/>
        <v>1.6866785864416256E-3</v>
      </c>
      <c r="W191" s="2"/>
      <c r="X191" s="6">
        <f t="shared" si="115"/>
        <v>1072.6199999999999</v>
      </c>
      <c r="Y191" s="2"/>
      <c r="Z191" s="7">
        <f t="shared" si="116"/>
        <v>0.27644845360824738</v>
      </c>
    </row>
    <row r="192" spans="1:26" s="29" customFormat="1" outlineLevel="1" collapsed="1" x14ac:dyDescent="0.25">
      <c r="A192" s="28"/>
      <c r="B192" s="14" t="str">
        <f>CONCATENATE("     ","Training                                          ")</f>
        <v xml:space="preserve">     Training                                          </v>
      </c>
      <c r="C192" s="14"/>
      <c r="D192" s="1">
        <f>SUM(OSRRefD22_23x_0)</f>
        <v>0</v>
      </c>
      <c r="E192" s="1"/>
      <c r="F192" s="5">
        <f t="shared" ref="F192:F197" si="117">IF(D$12=0,0,D192/D$12)</f>
        <v>0</v>
      </c>
      <c r="G192" s="1"/>
      <c r="H192" s="1">
        <f>SUM(OSRRefH22_23x_0)</f>
        <v>180</v>
      </c>
      <c r="I192" s="1"/>
      <c r="J192" s="5">
        <f t="shared" ref="J192:J197" si="118">IF(H$12=0,0,H192/H$12)</f>
        <v>9.0074852202180018E-5</v>
      </c>
      <c r="K192" s="1"/>
      <c r="L192" s="1">
        <f t="shared" ref="L192:L197" si="119">+D192-H192</f>
        <v>-180</v>
      </c>
      <c r="M192" s="1"/>
      <c r="N192" s="5">
        <f t="shared" ref="N192:N197" si="120">IF(H192=0,0,L192/H192)</f>
        <v>-1</v>
      </c>
      <c r="O192" s="14"/>
      <c r="P192" s="1">
        <f>SUM(OSRRefP22_23x_0)</f>
        <v>131.63</v>
      </c>
      <c r="Q192" s="1"/>
      <c r="R192" s="5">
        <f t="shared" ref="R192:R197" si="121">IF(P$12=0,0,P192/P$12)</f>
        <v>7.2103098216941806E-5</v>
      </c>
      <c r="S192" s="1"/>
      <c r="T192" s="1">
        <f>SUM(OSRRefT22_23x_0)</f>
        <v>180</v>
      </c>
      <c r="U192" s="1"/>
      <c r="V192" s="5">
        <f t="shared" ref="V192:V197" si="122">IF(T$12=0,0,T192/T$12)</f>
        <v>7.8247975659663044E-5</v>
      </c>
      <c r="W192" s="1"/>
      <c r="X192" s="1">
        <f t="shared" ref="X192:X197" si="123">+P192-T192</f>
        <v>-48.370000000000005</v>
      </c>
      <c r="Y192" s="1"/>
      <c r="Z192" s="5">
        <f t="shared" ref="Z192:Z197" si="124">IF(T192=0,0,X192/T192)</f>
        <v>-0.26872222222222225</v>
      </c>
    </row>
    <row r="193" spans="1:26" s="24" customFormat="1" hidden="1" outlineLevel="2" x14ac:dyDescent="0.25">
      <c r="A193" s="27"/>
      <c r="B193" s="11" t="str">
        <f>CONCATENATE("          ", "6376", " - ", "TRAINING")</f>
        <v xml:space="preserve">          6376 - TRAINING</v>
      </c>
      <c r="C193" s="11"/>
      <c r="D193" s="6"/>
      <c r="E193" s="2"/>
      <c r="F193" s="7">
        <f t="shared" si="117"/>
        <v>0</v>
      </c>
      <c r="G193" s="2"/>
      <c r="H193" s="6">
        <v>180</v>
      </c>
      <c r="I193" s="2"/>
      <c r="J193" s="7">
        <f t="shared" si="118"/>
        <v>9.0074852202180018E-5</v>
      </c>
      <c r="K193" s="2"/>
      <c r="L193" s="6">
        <f t="shared" si="119"/>
        <v>-180</v>
      </c>
      <c r="M193" s="2"/>
      <c r="N193" s="7">
        <f t="shared" si="120"/>
        <v>-1</v>
      </c>
      <c r="O193" s="11"/>
      <c r="P193" s="6">
        <v>131.63</v>
      </c>
      <c r="Q193" s="2"/>
      <c r="R193" s="7">
        <f t="shared" si="121"/>
        <v>7.2103098216941806E-5</v>
      </c>
      <c r="S193" s="2"/>
      <c r="T193" s="6">
        <v>180</v>
      </c>
      <c r="U193" s="2"/>
      <c r="V193" s="7">
        <f t="shared" si="122"/>
        <v>7.8247975659663044E-5</v>
      </c>
      <c r="W193" s="2"/>
      <c r="X193" s="6">
        <f t="shared" si="123"/>
        <v>-48.370000000000005</v>
      </c>
      <c r="Y193" s="2"/>
      <c r="Z193" s="7">
        <f t="shared" si="124"/>
        <v>-0.26872222222222225</v>
      </c>
    </row>
    <row r="194" spans="1:26" s="29" customFormat="1" outlineLevel="1" collapsed="1" x14ac:dyDescent="0.25">
      <c r="A194" s="28"/>
      <c r="B194" s="14" t="str">
        <f>CONCATENATE("     ","Travel                                            ")</f>
        <v xml:space="preserve">     Travel                                            </v>
      </c>
      <c r="C194" s="14"/>
      <c r="D194" s="1">
        <f>SUM(OSRRefD22_24x_0)</f>
        <v>25.76</v>
      </c>
      <c r="E194" s="1"/>
      <c r="F194" s="5">
        <f t="shared" si="117"/>
        <v>1.6121026755954206E-5</v>
      </c>
      <c r="G194" s="1"/>
      <c r="H194" s="1">
        <f>SUM(OSRRefH22_24x_0)</f>
        <v>50</v>
      </c>
      <c r="I194" s="1"/>
      <c r="J194" s="5">
        <f t="shared" si="118"/>
        <v>2.5020792278383339E-5</v>
      </c>
      <c r="K194" s="1"/>
      <c r="L194" s="1">
        <f t="shared" si="119"/>
        <v>-24.24</v>
      </c>
      <c r="M194" s="1"/>
      <c r="N194" s="5">
        <f t="shared" si="120"/>
        <v>-0.48479999999999995</v>
      </c>
      <c r="O194" s="14"/>
      <c r="P194" s="1">
        <f>SUM(OSRRefP22_24x_0)</f>
        <v>300.96999999999997</v>
      </c>
      <c r="Q194" s="1"/>
      <c r="R194" s="5">
        <f t="shared" si="121"/>
        <v>1.6486264126986988E-4</v>
      </c>
      <c r="S194" s="1"/>
      <c r="T194" s="1">
        <f>SUM(OSRRefT22_24x_0)</f>
        <v>100</v>
      </c>
      <c r="U194" s="1"/>
      <c r="V194" s="5">
        <f t="shared" si="122"/>
        <v>4.3471097588701691E-5</v>
      </c>
      <c r="W194" s="1"/>
      <c r="X194" s="1">
        <f t="shared" si="123"/>
        <v>200.96999999999997</v>
      </c>
      <c r="Y194" s="1"/>
      <c r="Z194" s="5">
        <f t="shared" si="124"/>
        <v>2.0096999999999996</v>
      </c>
    </row>
    <row r="195" spans="1:26" s="24" customFormat="1" hidden="1" outlineLevel="2" x14ac:dyDescent="0.25">
      <c r="A195" s="27"/>
      <c r="B195" s="11" t="str">
        <f>CONCATENATE("          ", "6292", " - ", "TRAVEL/CONFERENCE")</f>
        <v xml:space="preserve">          6292 - TRAVEL/CONFERENCE</v>
      </c>
      <c r="C195" s="11"/>
      <c r="D195" s="6"/>
      <c r="E195" s="2"/>
      <c r="F195" s="7">
        <f t="shared" si="117"/>
        <v>0</v>
      </c>
      <c r="G195" s="2"/>
      <c r="H195" s="6"/>
      <c r="I195" s="2"/>
      <c r="J195" s="7">
        <f t="shared" si="118"/>
        <v>0</v>
      </c>
      <c r="K195" s="2"/>
      <c r="L195" s="6">
        <f t="shared" si="119"/>
        <v>0</v>
      </c>
      <c r="M195" s="2"/>
      <c r="N195" s="7">
        <f t="shared" si="120"/>
        <v>0</v>
      </c>
      <c r="O195" s="11"/>
      <c r="P195" s="6">
        <v>0.16</v>
      </c>
      <c r="Q195" s="2"/>
      <c r="R195" s="7">
        <f t="shared" si="121"/>
        <v>8.7643361807419955E-8</v>
      </c>
      <c r="S195" s="2"/>
      <c r="T195" s="6"/>
      <c r="U195" s="2"/>
      <c r="V195" s="7">
        <f t="shared" si="122"/>
        <v>0</v>
      </c>
      <c r="W195" s="2"/>
      <c r="X195" s="6">
        <f t="shared" si="123"/>
        <v>0.16</v>
      </c>
      <c r="Y195" s="2"/>
      <c r="Z195" s="7">
        <f t="shared" si="124"/>
        <v>0</v>
      </c>
    </row>
    <row r="196" spans="1:26" s="24" customFormat="1" hidden="1" outlineLevel="2" x14ac:dyDescent="0.25">
      <c r="A196" s="27"/>
      <c r="B196" s="11" t="str">
        <f>CONCATENATE("          ", "6294", " - ", "TRAVEL OPERATIONAL")</f>
        <v xml:space="preserve">          6294 - TRAVEL OPERATIONAL</v>
      </c>
      <c r="C196" s="11"/>
      <c r="D196" s="6">
        <v>25.76</v>
      </c>
      <c r="E196" s="2"/>
      <c r="F196" s="7">
        <f t="shared" si="117"/>
        <v>1.6121026755954206E-5</v>
      </c>
      <c r="G196" s="2"/>
      <c r="H196" s="6">
        <v>25</v>
      </c>
      <c r="I196" s="2"/>
      <c r="J196" s="7">
        <f t="shared" si="118"/>
        <v>1.2510396139191669E-5</v>
      </c>
      <c r="K196" s="2"/>
      <c r="L196" s="6">
        <f t="shared" si="119"/>
        <v>0.76000000000000156</v>
      </c>
      <c r="M196" s="2"/>
      <c r="N196" s="7">
        <f t="shared" si="120"/>
        <v>3.0400000000000062E-2</v>
      </c>
      <c r="O196" s="11"/>
      <c r="P196" s="6">
        <v>240.92</v>
      </c>
      <c r="Q196" s="2"/>
      <c r="R196" s="7">
        <f t="shared" si="121"/>
        <v>1.319689920415226E-4</v>
      </c>
      <c r="S196" s="2"/>
      <c r="T196" s="6">
        <v>50</v>
      </c>
      <c r="U196" s="2"/>
      <c r="V196" s="7">
        <f t="shared" si="122"/>
        <v>2.1735548794350846E-5</v>
      </c>
      <c r="W196" s="2"/>
      <c r="X196" s="6">
        <f t="shared" si="123"/>
        <v>190.92</v>
      </c>
      <c r="Y196" s="2"/>
      <c r="Z196" s="7">
        <f t="shared" si="124"/>
        <v>3.8183999999999996</v>
      </c>
    </row>
    <row r="197" spans="1:26" s="24" customFormat="1" hidden="1" outlineLevel="2" x14ac:dyDescent="0.25">
      <c r="A197" s="27"/>
      <c r="B197" s="11" t="str">
        <f>CONCATENATE("          ", "6298", " - ", "VEHICLE MILEAGE")</f>
        <v xml:space="preserve">          6298 - VEHICLE MILEAGE</v>
      </c>
      <c r="C197" s="11"/>
      <c r="D197" s="6"/>
      <c r="E197" s="2"/>
      <c r="F197" s="7">
        <f t="shared" si="117"/>
        <v>0</v>
      </c>
      <c r="G197" s="2"/>
      <c r="H197" s="6">
        <v>25</v>
      </c>
      <c r="I197" s="2"/>
      <c r="J197" s="7">
        <f t="shared" si="118"/>
        <v>1.2510396139191669E-5</v>
      </c>
      <c r="K197" s="2"/>
      <c r="L197" s="6">
        <f t="shared" si="119"/>
        <v>-25</v>
      </c>
      <c r="M197" s="2"/>
      <c r="N197" s="7">
        <f t="shared" si="120"/>
        <v>-1</v>
      </c>
      <c r="O197" s="11"/>
      <c r="P197" s="6">
        <v>59.89</v>
      </c>
      <c r="Q197" s="2"/>
      <c r="R197" s="7">
        <f t="shared" si="121"/>
        <v>3.2806005866539883E-5</v>
      </c>
      <c r="S197" s="2"/>
      <c r="T197" s="6">
        <v>50</v>
      </c>
      <c r="U197" s="2"/>
      <c r="V197" s="7">
        <f t="shared" si="122"/>
        <v>2.1735548794350846E-5</v>
      </c>
      <c r="W197" s="2"/>
      <c r="X197" s="6">
        <f t="shared" si="123"/>
        <v>9.89</v>
      </c>
      <c r="Y197" s="2"/>
      <c r="Z197" s="7">
        <f t="shared" si="124"/>
        <v>0.1978</v>
      </c>
    </row>
    <row r="198" spans="1:26" s="29" customFormat="1" outlineLevel="1" collapsed="1" x14ac:dyDescent="0.25">
      <c r="A198" s="28"/>
      <c r="B198" s="14" t="str">
        <f>CONCATENATE("     ","Utilities                                         ")</f>
        <v xml:space="preserve">     Utilities                                         </v>
      </c>
      <c r="C198" s="14"/>
      <c r="D198" s="1">
        <f>SUM(OSRRefD22_25x_0)</f>
        <v>6209.91</v>
      </c>
      <c r="E198" s="1"/>
      <c r="F198" s="5">
        <f t="shared" ref="F198:F199" si="125">IF(D$12=0,0,D198/D$12)</f>
        <v>3.8862626266330581E-3</v>
      </c>
      <c r="G198" s="1"/>
      <c r="H198" s="1">
        <f>SUM(OSRRefH22_25x_0)</f>
        <v>6155</v>
      </c>
      <c r="I198" s="1"/>
      <c r="J198" s="5">
        <f t="shared" ref="J198:J199" si="126">IF(H$12=0,0,H198/H$12)</f>
        <v>3.0800595294689891E-3</v>
      </c>
      <c r="K198" s="1"/>
      <c r="L198" s="1">
        <f t="shared" ref="L198:L199" si="127">+D198-H198</f>
        <v>54.909999999999854</v>
      </c>
      <c r="M198" s="1"/>
      <c r="N198" s="5">
        <f t="shared" ref="N198:N199" si="128">IF(H198=0,0,L198/H198)</f>
        <v>8.9212022745734938E-3</v>
      </c>
      <c r="O198" s="14"/>
      <c r="P198" s="1">
        <f>SUM(OSRRefP22_25x_0)</f>
        <v>12421.37</v>
      </c>
      <c r="Q198" s="1"/>
      <c r="R198" s="5">
        <f t="shared" ref="R198:R199" si="129">IF(P$12=0,0,P198/P$12)</f>
        <v>6.8040664065864504E-3</v>
      </c>
      <c r="S198" s="1"/>
      <c r="T198" s="1">
        <f>SUM(OSRRefT22_25x_0)</f>
        <v>13081</v>
      </c>
      <c r="U198" s="1"/>
      <c r="V198" s="5">
        <f t="shared" ref="V198:V199" si="130">IF(T$12=0,0,T198/T$12)</f>
        <v>5.6864542755780678E-3</v>
      </c>
      <c r="W198" s="1"/>
      <c r="X198" s="1">
        <f t="shared" ref="X198:X199" si="131">+P198-T198</f>
        <v>-659.6299999999992</v>
      </c>
      <c r="Y198" s="1"/>
      <c r="Z198" s="5">
        <f t="shared" ref="Z198:Z199" si="132">IF(T198=0,0,X198/T198)</f>
        <v>-5.0426572891980673E-2</v>
      </c>
    </row>
    <row r="199" spans="1:26" s="24" customFormat="1" hidden="1" outlineLevel="2" x14ac:dyDescent="0.25">
      <c r="A199" s="27"/>
      <c r="B199" s="11" t="str">
        <f>CONCATENATE("          ", "6274", " - ", "UTILITIES")</f>
        <v xml:space="preserve">          6274 - UTILITIES</v>
      </c>
      <c r="C199" s="11"/>
      <c r="D199" s="6">
        <v>6209.91</v>
      </c>
      <c r="E199" s="2"/>
      <c r="F199" s="7">
        <f t="shared" si="125"/>
        <v>3.8862626266330581E-3</v>
      </c>
      <c r="G199" s="2"/>
      <c r="H199" s="6">
        <v>6155</v>
      </c>
      <c r="I199" s="2"/>
      <c r="J199" s="7">
        <f t="shared" si="126"/>
        <v>3.0800595294689891E-3</v>
      </c>
      <c r="K199" s="2"/>
      <c r="L199" s="6">
        <f t="shared" si="127"/>
        <v>54.909999999999854</v>
      </c>
      <c r="M199" s="2"/>
      <c r="N199" s="7">
        <f t="shared" si="128"/>
        <v>8.9212022745734938E-3</v>
      </c>
      <c r="O199" s="11"/>
      <c r="P199" s="6">
        <v>12421.37</v>
      </c>
      <c r="Q199" s="2"/>
      <c r="R199" s="7">
        <f t="shared" si="129"/>
        <v>6.8040664065864504E-3</v>
      </c>
      <c r="S199" s="2"/>
      <c r="T199" s="6">
        <v>13081</v>
      </c>
      <c r="U199" s="2"/>
      <c r="V199" s="7">
        <f t="shared" si="130"/>
        <v>5.6864542755780678E-3</v>
      </c>
      <c r="W199" s="2"/>
      <c r="X199" s="6">
        <f t="shared" si="131"/>
        <v>-659.6299999999992</v>
      </c>
      <c r="Y199" s="2"/>
      <c r="Z199" s="7">
        <f t="shared" si="132"/>
        <v>-5.0426572891980673E-2</v>
      </c>
    </row>
    <row r="200" spans="1:26" s="61" customFormat="1" x14ac:dyDescent="0.25">
      <c r="A200" s="36"/>
      <c r="B200" s="36"/>
      <c r="C200" s="36"/>
      <c r="D200" s="1"/>
      <c r="E200" s="1"/>
      <c r="F200" s="5"/>
      <c r="G200" s="1"/>
      <c r="H200" s="1"/>
      <c r="I200" s="1"/>
      <c r="J200" s="5"/>
      <c r="K200" s="1"/>
      <c r="L200" s="1"/>
      <c r="M200" s="1"/>
      <c r="N200" s="5"/>
      <c r="O200" s="36"/>
      <c r="P200" s="1"/>
      <c r="Q200" s="1"/>
      <c r="R200" s="5"/>
      <c r="S200" s="1"/>
      <c r="T200" s="1"/>
      <c r="U200" s="1"/>
      <c r="V200" s="5"/>
      <c r="W200" s="1"/>
      <c r="X200" s="1"/>
      <c r="Y200" s="1"/>
      <c r="Z200" s="5"/>
    </row>
    <row r="201" spans="1:26" s="22" customFormat="1" collapsed="1" x14ac:dyDescent="0.25">
      <c r="A201" s="10"/>
      <c r="B201" s="25" t="s">
        <v>0</v>
      </c>
      <c r="C201" s="10"/>
      <c r="D201" s="4">
        <f>SUM(OSRRefD25x_0)</f>
        <v>56868.1</v>
      </c>
      <c r="E201" s="4"/>
      <c r="F201" s="12">
        <f t="shared" ref="F201:F205" si="133">IF(D$12=0,0,D201/D$12)</f>
        <v>3.5588981430911465E-2</v>
      </c>
      <c r="G201" s="4"/>
      <c r="H201" s="4">
        <f>SUM(OSRRefH25x_0)</f>
        <v>37225</v>
      </c>
      <c r="I201" s="4"/>
      <c r="J201" s="12">
        <f t="shared" ref="J201:J205" si="134">IF(H$12=0,0,H201/H$12)</f>
        <v>1.8627979851256395E-2</v>
      </c>
      <c r="K201" s="4"/>
      <c r="L201" s="4">
        <f t="shared" ref="L201:L205" si="135">+D201-H201</f>
        <v>19643.099999999999</v>
      </c>
      <c r="M201" s="4"/>
      <c r="N201" s="12">
        <f t="shared" ref="N201:N205" si="136">IF(H201=0,0,L201/H201)</f>
        <v>0.52768569509738072</v>
      </c>
      <c r="O201" s="10"/>
      <c r="P201" s="4">
        <f>SUM(OSRRefP25x_0)</f>
        <v>254740.65</v>
      </c>
      <c r="Q201" s="4"/>
      <c r="R201" s="12">
        <f t="shared" ref="R201:R205" si="137">IF(P$12=0,0,P201/P$12)</f>
        <v>0.13953954346879582</v>
      </c>
      <c r="S201" s="4"/>
      <c r="T201" s="4">
        <f>SUM(OSRRefT25x_0)</f>
        <v>70150</v>
      </c>
      <c r="U201" s="4"/>
      <c r="V201" s="12">
        <f t="shared" ref="V201:V205" si="138">IF(T$12=0,0,T201/T$12)</f>
        <v>3.0494974958474235E-2</v>
      </c>
      <c r="W201" s="4"/>
      <c r="X201" s="4">
        <f t="shared" ref="X201:X205" si="139">+P201-T201</f>
        <v>184590.65</v>
      </c>
      <c r="Y201" s="4"/>
      <c r="Z201" s="12">
        <f t="shared" ref="Z201:Z205" si="140">IF(T201=0,0,X201/T201)</f>
        <v>2.6313706343549534</v>
      </c>
    </row>
    <row r="202" spans="1:26" s="24" customFormat="1" hidden="1" outlineLevel="1" x14ac:dyDescent="0.25">
      <c r="A202" s="51"/>
      <c r="B202" s="11" t="str">
        <f>CONCATENATE("          ", "9150", " - ", "MISC. INCOME")</f>
        <v xml:space="preserve">          9150 - MISC. INCOME</v>
      </c>
      <c r="C202" s="11"/>
      <c r="D202" s="2">
        <f>--56796.1</f>
        <v>56796.1</v>
      </c>
      <c r="E202" s="2"/>
      <c r="F202" s="23">
        <f t="shared" si="133"/>
        <v>3.5543922660475569E-2</v>
      </c>
      <c r="G202" s="2"/>
      <c r="H202" s="2">
        <v>22050</v>
      </c>
      <c r="I202" s="2"/>
      <c r="J202" s="23">
        <f t="shared" si="134"/>
        <v>1.1034169394767052E-2</v>
      </c>
      <c r="K202" s="2"/>
      <c r="L202" s="2">
        <f t="shared" si="135"/>
        <v>34746.1</v>
      </c>
      <c r="M202" s="2"/>
      <c r="N202" s="23">
        <f t="shared" si="136"/>
        <v>1.5757868480725623</v>
      </c>
      <c r="O202" s="11"/>
      <c r="P202" s="2">
        <f>--92530.36</f>
        <v>92530.36</v>
      </c>
      <c r="Q202" s="2"/>
      <c r="R202" s="23">
        <f t="shared" si="137"/>
        <v>5.0685448872817618E-2</v>
      </c>
      <c r="S202" s="2"/>
      <c r="T202" s="2">
        <v>39600</v>
      </c>
      <c r="U202" s="2"/>
      <c r="V202" s="23">
        <f t="shared" si="138"/>
        <v>1.7214554645125869E-2</v>
      </c>
      <c r="W202" s="2"/>
      <c r="X202" s="2">
        <f t="shared" si="139"/>
        <v>52930.36</v>
      </c>
      <c r="Y202" s="2"/>
      <c r="Z202" s="23">
        <f t="shared" si="140"/>
        <v>1.3366252525252524</v>
      </c>
    </row>
    <row r="203" spans="1:26" s="24" customFormat="1" hidden="1" outlineLevel="1" x14ac:dyDescent="0.25">
      <c r="A203" s="51"/>
      <c r="B203" s="11" t="str">
        <f>CONCATENATE("          ", "9151", " - ", "MISC. INCOME")</f>
        <v xml:space="preserve">          9151 - MISC. INCOME</v>
      </c>
      <c r="C203" s="11"/>
      <c r="D203" s="2">
        <f>0</f>
        <v>0</v>
      </c>
      <c r="E203" s="2"/>
      <c r="F203" s="23">
        <f t="shared" si="133"/>
        <v>0</v>
      </c>
      <c r="G203" s="2"/>
      <c r="H203" s="2">
        <v>15175</v>
      </c>
      <c r="I203" s="2"/>
      <c r="J203" s="23">
        <f t="shared" si="134"/>
        <v>7.5938104564893432E-3</v>
      </c>
      <c r="K203" s="2"/>
      <c r="L203" s="2">
        <f t="shared" si="135"/>
        <v>-15175</v>
      </c>
      <c r="M203" s="2"/>
      <c r="N203" s="23">
        <f t="shared" si="136"/>
        <v>-1</v>
      </c>
      <c r="O203" s="11"/>
      <c r="P203" s="2">
        <f>0</f>
        <v>0</v>
      </c>
      <c r="Q203" s="2"/>
      <c r="R203" s="23">
        <f t="shared" si="137"/>
        <v>0</v>
      </c>
      <c r="S203" s="2"/>
      <c r="T203" s="2">
        <v>30550</v>
      </c>
      <c r="U203" s="2"/>
      <c r="V203" s="23">
        <f t="shared" si="138"/>
        <v>1.3280420313348366E-2</v>
      </c>
      <c r="W203" s="2"/>
      <c r="X203" s="2">
        <f t="shared" si="139"/>
        <v>-30550</v>
      </c>
      <c r="Y203" s="2"/>
      <c r="Z203" s="23">
        <f t="shared" si="140"/>
        <v>-1</v>
      </c>
    </row>
    <row r="204" spans="1:26" s="24" customFormat="1" hidden="1" outlineLevel="1" x14ac:dyDescent="0.25">
      <c r="A204" s="51"/>
      <c r="B204" s="11" t="str">
        <f>CONCATENATE("          ", "9152", " - ", "MISC. INCOME")</f>
        <v xml:space="preserve">          9152 - MISC. INCOME</v>
      </c>
      <c r="C204" s="11"/>
      <c r="D204" s="2">
        <f>--72</f>
        <v>72</v>
      </c>
      <c r="E204" s="2"/>
      <c r="F204" s="23">
        <f t="shared" si="133"/>
        <v>4.5058770435896844E-5</v>
      </c>
      <c r="G204" s="2"/>
      <c r="H204" s="2"/>
      <c r="I204" s="2"/>
      <c r="J204" s="23">
        <f t="shared" si="134"/>
        <v>0</v>
      </c>
      <c r="K204" s="2"/>
      <c r="L204" s="2">
        <f t="shared" si="135"/>
        <v>72</v>
      </c>
      <c r="M204" s="2"/>
      <c r="N204" s="23">
        <f t="shared" si="136"/>
        <v>0</v>
      </c>
      <c r="O204" s="11"/>
      <c r="P204" s="2">
        <f>--1546.39</f>
        <v>1546.39</v>
      </c>
      <c r="Q204" s="2"/>
      <c r="R204" s="23">
        <f t="shared" si="137"/>
        <v>8.47067614158601E-4</v>
      </c>
      <c r="S204" s="2"/>
      <c r="T204" s="2"/>
      <c r="U204" s="2"/>
      <c r="V204" s="23">
        <f t="shared" si="138"/>
        <v>0</v>
      </c>
      <c r="W204" s="2"/>
      <c r="X204" s="2">
        <f t="shared" si="139"/>
        <v>1546.39</v>
      </c>
      <c r="Y204" s="2"/>
      <c r="Z204" s="23">
        <f t="shared" si="140"/>
        <v>0</v>
      </c>
    </row>
    <row r="205" spans="1:26" s="24" customFormat="1" hidden="1" outlineLevel="1" x14ac:dyDescent="0.25">
      <c r="A205" s="51"/>
      <c r="B205" s="11" t="str">
        <f>CONCATENATE("          ", "9163", " - ", "MISC. INCOME")</f>
        <v xml:space="preserve">          9163 - MISC. INCOME</v>
      </c>
      <c r="C205" s="11"/>
      <c r="D205" s="2">
        <f>0</f>
        <v>0</v>
      </c>
      <c r="E205" s="2"/>
      <c r="F205" s="23">
        <f t="shared" si="133"/>
        <v>0</v>
      </c>
      <c r="G205" s="2"/>
      <c r="H205" s="2"/>
      <c r="I205" s="2"/>
      <c r="J205" s="23">
        <f t="shared" si="134"/>
        <v>0</v>
      </c>
      <c r="K205" s="2"/>
      <c r="L205" s="2">
        <f t="shared" si="135"/>
        <v>0</v>
      </c>
      <c r="M205" s="2"/>
      <c r="N205" s="23">
        <f t="shared" si="136"/>
        <v>0</v>
      </c>
      <c r="O205" s="11"/>
      <c r="P205" s="2">
        <f>--160663.9</f>
        <v>160663.9</v>
      </c>
      <c r="Q205" s="2"/>
      <c r="R205" s="23">
        <f t="shared" si="137"/>
        <v>8.8007026981819614E-2</v>
      </c>
      <c r="S205" s="2"/>
      <c r="T205" s="2"/>
      <c r="U205" s="2"/>
      <c r="V205" s="23">
        <f t="shared" si="138"/>
        <v>0</v>
      </c>
      <c r="W205" s="2"/>
      <c r="X205" s="2">
        <f t="shared" si="139"/>
        <v>160663.9</v>
      </c>
      <c r="Y205" s="2"/>
      <c r="Z205" s="23">
        <f t="shared" si="140"/>
        <v>0</v>
      </c>
    </row>
    <row r="206" spans="1:26" x14ac:dyDescent="0.25">
      <c r="A206" s="9"/>
      <c r="B206" s="10"/>
      <c r="C206" s="10"/>
      <c r="D206" s="3"/>
      <c r="E206" s="3"/>
      <c r="F206" s="8"/>
      <c r="G206" s="3"/>
      <c r="H206" s="3"/>
      <c r="I206" s="3"/>
      <c r="J206" s="8"/>
      <c r="K206" s="3"/>
      <c r="L206" s="3"/>
      <c r="M206" s="3"/>
      <c r="N206" s="8"/>
      <c r="O206" s="10"/>
      <c r="P206" s="3"/>
      <c r="Q206" s="3"/>
      <c r="R206" s="8"/>
      <c r="S206" s="3"/>
      <c r="T206" s="3"/>
      <c r="U206" s="3"/>
      <c r="V206" s="8"/>
      <c r="W206" s="3"/>
      <c r="X206" s="3"/>
      <c r="Y206" s="3"/>
      <c r="Z206" s="8"/>
    </row>
    <row r="207" spans="1:26" s="22" customFormat="1" x14ac:dyDescent="0.25">
      <c r="A207" s="10"/>
      <c r="B207" s="26" t="s">
        <v>3</v>
      </c>
      <c r="C207" s="26"/>
      <c r="D207" s="21">
        <f>+D99-D101+D201</f>
        <v>321534.36000000022</v>
      </c>
      <c r="E207" s="13"/>
      <c r="F207" s="20">
        <f>IF(D$12=0,0,D207/D$12)</f>
        <v>0.20122142936795864</v>
      </c>
      <c r="G207" s="13"/>
      <c r="H207" s="21">
        <f>+H99-H101+H201</f>
        <v>247772.25124178437</v>
      </c>
      <c r="I207" s="13"/>
      <c r="J207" s="20">
        <f>IF(H$12=0,0,H207/H$12)</f>
        <v>0.1239891606133619</v>
      </c>
      <c r="K207" s="16"/>
      <c r="L207" s="21">
        <f>+D207-H207</f>
        <v>73762.108758215851</v>
      </c>
      <c r="M207" s="16"/>
      <c r="N207" s="20">
        <f>IF(H207=0,0,L207/H207)</f>
        <v>0.29770124938743175</v>
      </c>
      <c r="O207" s="25"/>
      <c r="P207" s="21">
        <f>+P99-P101+P201</f>
        <v>252029.87999999998</v>
      </c>
      <c r="Q207" s="13"/>
      <c r="R207" s="20">
        <f>IF(P$12=0,0,P207/P$12)</f>
        <v>0.13805466224450394</v>
      </c>
      <c r="S207" s="13"/>
      <c r="T207" s="21">
        <f>+T99-T101+T201</f>
        <v>2473.7137816402828</v>
      </c>
      <c r="U207" s="13"/>
      <c r="V207" s="20">
        <f>IF(T$12=0,0,T207/T$12)</f>
        <v>1.0753505320820103E-3</v>
      </c>
      <c r="W207" s="16"/>
      <c r="X207" s="21">
        <f>+P207-T207</f>
        <v>249556.16621835969</v>
      </c>
      <c r="Y207" s="16"/>
      <c r="Z207" s="20">
        <f>IF(T207=0,0,X207/T207)</f>
        <v>100.8832016341368</v>
      </c>
    </row>
    <row r="208" spans="1:26" x14ac:dyDescent="0.25">
      <c r="A208" s="9"/>
      <c r="B208" s="10"/>
      <c r="C208" s="9"/>
      <c r="D208" s="3"/>
      <c r="E208" s="3"/>
      <c r="F208" s="8"/>
      <c r="G208" s="3"/>
      <c r="H208" s="3"/>
      <c r="I208" s="3"/>
      <c r="J208" s="8"/>
      <c r="K208" s="3"/>
      <c r="L208" s="3"/>
      <c r="M208" s="3"/>
      <c r="N208" s="8"/>
      <c r="P208" s="3"/>
      <c r="Q208" s="3"/>
      <c r="R208" s="8"/>
      <c r="S208" s="3"/>
      <c r="T208" s="3"/>
      <c r="U208" s="3"/>
      <c r="V208" s="8"/>
      <c r="W208" s="3"/>
      <c r="X208" s="3"/>
      <c r="Y208" s="3"/>
      <c r="Z208" s="8"/>
    </row>
    <row r="209" spans="1:26" s="22" customFormat="1" x14ac:dyDescent="0.25">
      <c r="A209" s="52"/>
      <c r="B209" s="10" t="s">
        <v>14</v>
      </c>
      <c r="C209" s="10"/>
      <c r="D209" s="4">
        <v>193571.74</v>
      </c>
      <c r="E209" s="4"/>
      <c r="F209" s="12">
        <f>IF(D$12=0,0,D209/D$12)</f>
        <v>0.12114034160468209</v>
      </c>
      <c r="G209" s="4"/>
      <c r="H209" s="4">
        <v>228729</v>
      </c>
      <c r="I209" s="4"/>
      <c r="J209" s="12">
        <f>IF(H$12=0,0,H209/H$12)</f>
        <v>0.11445961594084686</v>
      </c>
      <c r="K209" s="4"/>
      <c r="L209" s="4">
        <f>+D209-H209</f>
        <v>-35157.260000000009</v>
      </c>
      <c r="M209" s="4"/>
      <c r="N209" s="12">
        <f>IF(H209=0,0,L209/H209)</f>
        <v>-0.15370705070192239</v>
      </c>
      <c r="O209" s="10"/>
      <c r="P209" s="4">
        <v>308224.99</v>
      </c>
      <c r="Q209" s="4"/>
      <c r="R209" s="12">
        <f>IF(P$12=0,0,P209/P$12)</f>
        <v>0.16883671447911497</v>
      </c>
      <c r="S209" s="4"/>
      <c r="T209" s="4">
        <v>378033</v>
      </c>
      <c r="U209" s="4"/>
      <c r="V209" s="12">
        <f>IF(T$12=0,0,T209/T$12)</f>
        <v>0.16433509434749666</v>
      </c>
      <c r="W209" s="4"/>
      <c r="X209" s="4">
        <f>+P209-T209</f>
        <v>-69808.010000000009</v>
      </c>
      <c r="Y209" s="4"/>
      <c r="Z209" s="12">
        <f>IF(T209=0,0,X209/T209)</f>
        <v>-0.18466115392042495</v>
      </c>
    </row>
    <row r="210" spans="1:26" x14ac:dyDescent="0.25">
      <c r="A210" s="9"/>
      <c r="B210" s="10"/>
      <c r="C210" s="10"/>
      <c r="D210" s="3"/>
      <c r="E210" s="3"/>
      <c r="F210" s="8"/>
      <c r="G210" s="3"/>
      <c r="H210" s="3"/>
      <c r="I210" s="3"/>
      <c r="J210" s="8"/>
      <c r="K210" s="3"/>
      <c r="L210" s="3"/>
      <c r="M210" s="3"/>
      <c r="N210" s="8"/>
      <c r="O210" s="10"/>
      <c r="P210" s="3"/>
      <c r="Q210" s="3"/>
      <c r="R210" s="8"/>
      <c r="S210" s="3"/>
      <c r="T210" s="3"/>
      <c r="U210" s="3"/>
      <c r="V210" s="8"/>
      <c r="W210" s="3"/>
      <c r="X210" s="3"/>
      <c r="Y210" s="3"/>
      <c r="Z210" s="8"/>
    </row>
    <row r="211" spans="1:26" s="22" customFormat="1" ht="15.75" thickBot="1" x14ac:dyDescent="0.3">
      <c r="A211" s="10"/>
      <c r="B211" s="26" t="s">
        <v>4</v>
      </c>
      <c r="C211" s="26"/>
      <c r="D211" s="33">
        <f>+D207-D209</f>
        <v>127962.62000000023</v>
      </c>
      <c r="E211" s="13"/>
      <c r="F211" s="31">
        <f>IF(D$12=0,0,D211/D$12)</f>
        <v>8.0081087763276562E-2</v>
      </c>
      <c r="G211" s="13"/>
      <c r="H211" s="33">
        <f>+H207-H209</f>
        <v>19043.251241784368</v>
      </c>
      <c r="I211" s="13"/>
      <c r="J211" s="31">
        <f>IF(H$12=0,0,H211/H$12)</f>
        <v>9.5295446725150446E-3</v>
      </c>
      <c r="K211" s="16"/>
      <c r="L211" s="33">
        <f>D211-H211</f>
        <v>108919.36875821586</v>
      </c>
      <c r="M211" s="16"/>
      <c r="N211" s="31">
        <f>IF(H211=0,0,L211/H211)</f>
        <v>5.719578415224964</v>
      </c>
      <c r="O211" s="25"/>
      <c r="P211" s="33">
        <f>+P207-P209</f>
        <v>-56195.110000000015</v>
      </c>
      <c r="Q211" s="13"/>
      <c r="R211" s="31">
        <f>IF(P$12=0,0,P211/P$12)</f>
        <v>-3.0782052234611029E-2</v>
      </c>
      <c r="S211" s="13"/>
      <c r="T211" s="33">
        <f>+T207-T209</f>
        <v>-375559.28621835972</v>
      </c>
      <c r="U211" s="13"/>
      <c r="V211" s="31">
        <f>IF(T$12=0,0,T211/T$12)</f>
        <v>-0.16325974381541464</v>
      </c>
      <c r="W211" s="16"/>
      <c r="X211" s="33">
        <f>P211-T211</f>
        <v>319364.17621835973</v>
      </c>
      <c r="Y211" s="16"/>
      <c r="Z211" s="31">
        <f>IF(T211=0,0,X211/T211)</f>
        <v>-0.85036953668261384</v>
      </c>
    </row>
    <row r="212" spans="1:26" ht="15.75" thickTop="1" x14ac:dyDescent="0.25">
      <c r="A212" s="9"/>
      <c r="B212" s="9"/>
      <c r="C212" s="9"/>
      <c r="D212" s="3"/>
      <c r="E212" s="3"/>
      <c r="F212" s="8"/>
      <c r="G212" s="3"/>
      <c r="H212" s="3"/>
      <c r="I212" s="3"/>
      <c r="J212" s="8"/>
      <c r="K212" s="3"/>
      <c r="L212" s="3"/>
      <c r="M212" s="3"/>
      <c r="N212" s="8"/>
      <c r="P212" s="3"/>
      <c r="Q212" s="3"/>
      <c r="R212" s="8"/>
      <c r="S212" s="3"/>
      <c r="T212" s="3"/>
      <c r="U212" s="3"/>
      <c r="V212" s="8"/>
      <c r="W212" s="3"/>
      <c r="X212" s="3"/>
      <c r="Y212" s="3"/>
      <c r="Z212" s="8"/>
    </row>
    <row r="213" spans="1:26" x14ac:dyDescent="0.25">
      <c r="A213" s="9"/>
      <c r="B213" s="9"/>
      <c r="C213" s="9"/>
      <c r="D213" s="3"/>
      <c r="E213" s="3"/>
      <c r="F213" s="8"/>
      <c r="G213" s="3"/>
      <c r="H213" s="3"/>
      <c r="I213" s="3"/>
      <c r="J213" s="8"/>
      <c r="K213" s="3"/>
      <c r="L213" s="3"/>
      <c r="M213" s="3"/>
      <c r="N213" s="8"/>
      <c r="P213" s="3"/>
      <c r="Q213" s="3"/>
      <c r="R213" s="8"/>
      <c r="S213" s="3"/>
      <c r="T213" s="3"/>
      <c r="U213" s="3"/>
      <c r="V213" s="8"/>
      <c r="W213" s="3"/>
      <c r="X213" s="3"/>
      <c r="Y213" s="3"/>
      <c r="Z213" s="8"/>
    </row>
    <row r="214" spans="1:26" s="22" customFormat="1" ht="15.75" thickBot="1" x14ac:dyDescent="0.3">
      <c r="A214" s="10"/>
      <c r="B214" s="26" t="s">
        <v>5</v>
      </c>
      <c r="C214" s="26"/>
      <c r="D214" s="32">
        <f>SUM(D211:D213)</f>
        <v>127962.62000000023</v>
      </c>
      <c r="E214" s="13"/>
      <c r="F214" s="35">
        <f>IF(D$12=0,0,D214/D$12)</f>
        <v>8.0081087763276562E-2</v>
      </c>
      <c r="G214" s="13"/>
      <c r="H214" s="32">
        <f>SUM(H211:H213)</f>
        <v>19043.251241784368</v>
      </c>
      <c r="I214" s="13"/>
      <c r="J214" s="35">
        <f>IF(H$12=0,0,H214/H$12)</f>
        <v>9.5295446725150446E-3</v>
      </c>
      <c r="K214" s="16"/>
      <c r="L214" s="32">
        <f>+D214-H214</f>
        <v>108919.36875821586</v>
      </c>
      <c r="M214" s="16"/>
      <c r="N214" s="35">
        <f>IF(H214=0,0,L214/H214)</f>
        <v>5.719578415224964</v>
      </c>
      <c r="O214" s="25"/>
      <c r="P214" s="32">
        <f>SUM(P211:P213)</f>
        <v>-56195.110000000015</v>
      </c>
      <c r="Q214" s="13"/>
      <c r="R214" s="35">
        <f>IF(P$12=0,0,P214/P$12)</f>
        <v>-3.0782052234611029E-2</v>
      </c>
      <c r="S214" s="13"/>
      <c r="T214" s="32">
        <f>SUM(T211:T213)</f>
        <v>-375559.28621835972</v>
      </c>
      <c r="U214" s="13"/>
      <c r="V214" s="35">
        <f>IF(T$12=0,0,T214/T$12)</f>
        <v>-0.16325974381541464</v>
      </c>
      <c r="W214" s="16"/>
      <c r="X214" s="32">
        <f>+P214-T214</f>
        <v>319364.17621835973</v>
      </c>
      <c r="Y214" s="16"/>
      <c r="Z214" s="35">
        <f>IF(T214=0,0,X214/T214)</f>
        <v>-0.85036953668261384</v>
      </c>
    </row>
    <row r="215" spans="1:26" ht="15.75" thickTop="1" x14ac:dyDescent="0.25">
      <c r="A215" s="9"/>
      <c r="C215" s="9"/>
      <c r="D215" s="18"/>
      <c r="E215" s="18"/>
      <c r="G215" s="18"/>
      <c r="H215" s="18"/>
      <c r="I215" s="18"/>
      <c r="J215" s="43"/>
      <c r="K215" s="18"/>
      <c r="L215" s="18"/>
      <c r="M215" s="18"/>
      <c r="P215" s="18"/>
      <c r="Q215" s="18"/>
      <c r="R215" s="43"/>
      <c r="S215" s="18"/>
      <c r="T215" s="18"/>
      <c r="U215" s="18"/>
      <c r="V215" s="43"/>
      <c r="W215" s="18"/>
      <c r="X215" s="18"/>
    </row>
    <row r="216" spans="1:26" x14ac:dyDescent="0.25">
      <c r="A216" s="9"/>
      <c r="B216" s="59">
        <v>44113.688859988426</v>
      </c>
      <c r="D216" s="18"/>
      <c r="E216" s="18"/>
      <c r="G216" s="18"/>
      <c r="H216" s="18"/>
      <c r="I216" s="18"/>
      <c r="J216" s="43"/>
      <c r="K216" s="18"/>
      <c r="L216" s="18"/>
      <c r="M216" s="18"/>
      <c r="P216" s="18"/>
      <c r="Q216" s="18"/>
      <c r="R216" s="43"/>
      <c r="S216" s="18"/>
      <c r="T216" s="18"/>
      <c r="U216" s="18"/>
      <c r="V216" s="43"/>
      <c r="W216" s="18"/>
      <c r="X216" s="18"/>
    </row>
    <row r="217" spans="1:26" x14ac:dyDescent="0.25">
      <c r="A217" s="9"/>
      <c r="B217" s="62" t="s">
        <v>314</v>
      </c>
      <c r="D217" s="18"/>
      <c r="E217" s="18"/>
      <c r="G217" s="18"/>
      <c r="H217" s="18"/>
      <c r="I217" s="18"/>
      <c r="J217" s="43"/>
      <c r="K217" s="18"/>
      <c r="L217" s="18"/>
      <c r="M217" s="18"/>
      <c r="P217" s="18"/>
      <c r="Q217" s="18"/>
      <c r="R217" s="43"/>
      <c r="S217" s="18"/>
      <c r="T217" s="18"/>
      <c r="U217" s="18"/>
      <c r="V217" s="43"/>
      <c r="W217" s="18"/>
      <c r="X217" s="18"/>
    </row>
    <row r="218" spans="1:26" x14ac:dyDescent="0.25">
      <c r="A218" s="9"/>
      <c r="B218" s="63"/>
      <c r="D218" s="18"/>
      <c r="E218" s="18"/>
      <c r="G218" s="18"/>
      <c r="H218" s="18"/>
      <c r="I218" s="18"/>
      <c r="J218" s="43"/>
      <c r="K218" s="18"/>
      <c r="L218" s="18"/>
      <c r="M218" s="18"/>
      <c r="P218" s="18"/>
      <c r="Q218" s="18"/>
      <c r="R218" s="43"/>
      <c r="S218" s="18"/>
      <c r="T218" s="18"/>
      <c r="U218" s="18"/>
      <c r="V218" s="43"/>
      <c r="W218" s="18"/>
      <c r="X218" s="18"/>
    </row>
    <row r="219" spans="1:26" x14ac:dyDescent="0.25">
      <c r="D219" s="18"/>
      <c r="E219" s="18"/>
      <c r="G219" s="18"/>
      <c r="H219" s="18"/>
      <c r="I219" s="18"/>
      <c r="J219" s="43"/>
      <c r="K219" s="18"/>
      <c r="L219" s="18"/>
      <c r="M219" s="18"/>
      <c r="P219" s="18"/>
      <c r="Q219" s="18"/>
      <c r="R219" s="43"/>
      <c r="S219" s="18"/>
      <c r="T219" s="18"/>
      <c r="U219" s="18"/>
      <c r="V219" s="43"/>
      <c r="W219" s="18"/>
      <c r="X219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1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1597089.1100000003</v>
      </c>
      <c r="E12" s="4"/>
      <c r="F12" s="12"/>
      <c r="G12" s="4"/>
      <c r="H12" s="4">
        <f>SUM(OSRRefH13x_0)</f>
        <v>1993587.9999999998</v>
      </c>
      <c r="I12" s="4"/>
      <c r="J12" s="12"/>
      <c r="K12" s="4"/>
      <c r="L12" s="4">
        <f t="shared" ref="L12:L69" si="0">+D12-H12</f>
        <v>-396498.88999999943</v>
      </c>
      <c r="M12" s="4"/>
      <c r="N12" s="12">
        <f t="shared" ref="N12:N69" si="1">IF(H12=0,0,L12/H12)</f>
        <v>-0.19888707696876159</v>
      </c>
      <c r="O12" s="10"/>
      <c r="P12" s="4">
        <f>SUM(OSRRefP13x_0)</f>
        <v>1824756.3600000003</v>
      </c>
      <c r="Q12" s="4"/>
      <c r="R12" s="12"/>
      <c r="S12" s="4"/>
      <c r="T12" s="4">
        <f>SUM(OSRRefT13x_0)</f>
        <v>2295579</v>
      </c>
      <c r="U12" s="4"/>
      <c r="V12" s="12"/>
      <c r="W12" s="4"/>
      <c r="X12" s="4">
        <f t="shared" ref="X12:X69" si="2">+P12-T12</f>
        <v>-470822.63999999966</v>
      </c>
      <c r="Y12" s="4"/>
      <c r="Z12" s="12">
        <f t="shared" ref="Z12:Z69" si="3">IF(T12=0,0,X12/T12)</f>
        <v>-0.20509973300853496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-17230.39</f>
        <v>-17230.39</v>
      </c>
      <c r="E13" s="2"/>
      <c r="F13" s="23"/>
      <c r="G13" s="2"/>
      <c r="H13" s="2">
        <v>1986261.9999999998</v>
      </c>
      <c r="I13" s="2"/>
      <c r="J13" s="23"/>
      <c r="K13" s="2"/>
      <c r="L13" s="2">
        <f t="shared" si="0"/>
        <v>-2003492.3899999997</v>
      </c>
      <c r="M13" s="2"/>
      <c r="N13" s="23">
        <f t="shared" si="1"/>
        <v>-1.0086747820780944</v>
      </c>
      <c r="O13" s="11"/>
      <c r="P13" s="2">
        <f>-27953.85</f>
        <v>-27953.85</v>
      </c>
      <c r="Q13" s="2"/>
      <c r="R13" s="23"/>
      <c r="S13" s="2"/>
      <c r="T13" s="2">
        <v>2287753</v>
      </c>
      <c r="U13" s="2"/>
      <c r="V13" s="23"/>
      <c r="W13" s="2"/>
      <c r="X13" s="2">
        <f t="shared" si="2"/>
        <v>-2315706.85</v>
      </c>
      <c r="Y13" s="2"/>
      <c r="Z13" s="23">
        <f t="shared" si="3"/>
        <v>-1.0122189108701858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23"/>
      <c r="G14" s="2"/>
      <c r="H14" s="2"/>
      <c r="I14" s="2"/>
      <c r="J14" s="23"/>
      <c r="K14" s="2"/>
      <c r="L14" s="2">
        <f t="shared" si="0"/>
        <v>572249.47</v>
      </c>
      <c r="M14" s="2"/>
      <c r="N14" s="23">
        <f t="shared" si="1"/>
        <v>0</v>
      </c>
      <c r="O14" s="11"/>
      <c r="P14" s="2">
        <f>--584197.32</f>
        <v>584197.31999999995</v>
      </c>
      <c r="Q14" s="2"/>
      <c r="R14" s="23"/>
      <c r="S14" s="2"/>
      <c r="T14" s="2"/>
      <c r="U14" s="2"/>
      <c r="V14" s="23"/>
      <c r="W14" s="2"/>
      <c r="X14" s="2">
        <f t="shared" si="2"/>
        <v>584197.31999999995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23"/>
      <c r="G15" s="2"/>
      <c r="H15" s="2"/>
      <c r="I15" s="2"/>
      <c r="J15" s="23"/>
      <c r="K15" s="2"/>
      <c r="L15" s="2">
        <f t="shared" si="0"/>
        <v>265582.82</v>
      </c>
      <c r="M15" s="2"/>
      <c r="N15" s="23">
        <f t="shared" si="1"/>
        <v>0</v>
      </c>
      <c r="O15" s="11"/>
      <c r="P15" s="2">
        <f>--278612.16</f>
        <v>278612.15999999997</v>
      </c>
      <c r="Q15" s="2"/>
      <c r="R15" s="23"/>
      <c r="S15" s="2"/>
      <c r="T15" s="2"/>
      <c r="U15" s="2"/>
      <c r="V15" s="23"/>
      <c r="W15" s="2"/>
      <c r="X15" s="2">
        <f t="shared" si="2"/>
        <v>278612.15999999997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0</f>
        <v>0</v>
      </c>
      <c r="E21" s="2"/>
      <c r="F21" s="23"/>
      <c r="G21" s="2"/>
      <c r="H21" s="2"/>
      <c r="I21" s="2"/>
      <c r="J21" s="23"/>
      <c r="K21" s="2"/>
      <c r="L21" s="2">
        <f t="shared" si="0"/>
        <v>0</v>
      </c>
      <c r="M21" s="2"/>
      <c r="N21" s="23">
        <f t="shared" si="1"/>
        <v>0</v>
      </c>
      <c r="O21" s="11"/>
      <c r="P21" s="2">
        <f>--236.56</f>
        <v>236.56</v>
      </c>
      <c r="Q21" s="2"/>
      <c r="R21" s="23"/>
      <c r="S21" s="2"/>
      <c r="T21" s="2"/>
      <c r="U21" s="2"/>
      <c r="V21" s="23"/>
      <c r="W21" s="2"/>
      <c r="X21" s="2">
        <f t="shared" si="2"/>
        <v>236.56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--20247.89</f>
        <v>20247.89</v>
      </c>
      <c r="E22" s="2"/>
      <c r="F22" s="23"/>
      <c r="G22" s="2"/>
      <c r="H22" s="2"/>
      <c r="I22" s="2"/>
      <c r="J22" s="23"/>
      <c r="K22" s="2"/>
      <c r="L22" s="2">
        <f t="shared" si="0"/>
        <v>20247.89</v>
      </c>
      <c r="M22" s="2"/>
      <c r="N22" s="23">
        <f t="shared" si="1"/>
        <v>0</v>
      </c>
      <c r="O22" s="11"/>
      <c r="P22" s="2">
        <f>--21901.06</f>
        <v>21901.06</v>
      </c>
      <c r="Q22" s="2"/>
      <c r="R22" s="23"/>
      <c r="S22" s="2"/>
      <c r="T22" s="2"/>
      <c r="U22" s="2"/>
      <c r="V22" s="23"/>
      <c r="W22" s="2"/>
      <c r="X22" s="2">
        <f t="shared" si="2"/>
        <v>21901.06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--9671.25</f>
        <v>9671.25</v>
      </c>
      <c r="E23" s="2"/>
      <c r="F23" s="23"/>
      <c r="G23" s="2"/>
      <c r="H23" s="2"/>
      <c r="I23" s="2"/>
      <c r="J23" s="23"/>
      <c r="K23" s="2"/>
      <c r="L23" s="2">
        <f t="shared" si="0"/>
        <v>9671.25</v>
      </c>
      <c r="M23" s="2"/>
      <c r="N23" s="23">
        <f t="shared" si="1"/>
        <v>0</v>
      </c>
      <c r="O23" s="11"/>
      <c r="P23" s="2">
        <f>--9691.1</f>
        <v>9691.1</v>
      </c>
      <c r="Q23" s="2"/>
      <c r="R23" s="23"/>
      <c r="S23" s="2"/>
      <c r="T23" s="2"/>
      <c r="U23" s="2"/>
      <c r="V23" s="23"/>
      <c r="W23" s="2"/>
      <c r="X23" s="2">
        <f t="shared" si="2"/>
        <v>9691.1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--532.51</f>
        <v>532.51</v>
      </c>
      <c r="E24" s="2"/>
      <c r="F24" s="23"/>
      <c r="G24" s="2"/>
      <c r="H24" s="2"/>
      <c r="I24" s="2"/>
      <c r="J24" s="23"/>
      <c r="K24" s="2"/>
      <c r="L24" s="2">
        <f t="shared" si="0"/>
        <v>532.51</v>
      </c>
      <c r="M24" s="2"/>
      <c r="N24" s="23">
        <f t="shared" si="1"/>
        <v>0</v>
      </c>
      <c r="O24" s="11"/>
      <c r="P24" s="2">
        <f>--552.26</f>
        <v>552.26</v>
      </c>
      <c r="Q24" s="2"/>
      <c r="R24" s="23"/>
      <c r="S24" s="2"/>
      <c r="T24" s="2"/>
      <c r="U24" s="2"/>
      <c r="V24" s="23"/>
      <c r="W24" s="2"/>
      <c r="X24" s="2">
        <f t="shared" si="2"/>
        <v>552.26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3"/>
      <c r="G25" s="2"/>
      <c r="H25" s="2"/>
      <c r="I25" s="2"/>
      <c r="J25" s="23"/>
      <c r="K25" s="2"/>
      <c r="L25" s="2">
        <f t="shared" si="0"/>
        <v>0</v>
      </c>
      <c r="M25" s="2"/>
      <c r="N25" s="23">
        <f t="shared" si="1"/>
        <v>0</v>
      </c>
      <c r="O25" s="11"/>
      <c r="P25" s="2">
        <f>--6.78</f>
        <v>6.78</v>
      </c>
      <c r="Q25" s="2"/>
      <c r="R25" s="23"/>
      <c r="S25" s="2"/>
      <c r="T25" s="2"/>
      <c r="U25" s="2"/>
      <c r="V25" s="23"/>
      <c r="W25" s="2"/>
      <c r="X25" s="2">
        <f t="shared" si="2"/>
        <v>6.78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--177286.09</f>
        <v>177286.09</v>
      </c>
      <c r="E26" s="2"/>
      <c r="F26" s="23"/>
      <c r="G26" s="2"/>
      <c r="H26" s="2"/>
      <c r="I26" s="2"/>
      <c r="J26" s="23"/>
      <c r="K26" s="2"/>
      <c r="L26" s="2">
        <f t="shared" si="0"/>
        <v>177286.09</v>
      </c>
      <c r="M26" s="2"/>
      <c r="N26" s="23">
        <f t="shared" si="1"/>
        <v>0</v>
      </c>
      <c r="O26" s="11"/>
      <c r="P26" s="2">
        <f>--249578.35</f>
        <v>249578.35</v>
      </c>
      <c r="Q26" s="2"/>
      <c r="R26" s="23"/>
      <c r="S26" s="2"/>
      <c r="T26" s="2"/>
      <c r="U26" s="2"/>
      <c r="V26" s="23"/>
      <c r="W26" s="2"/>
      <c r="X26" s="2">
        <f t="shared" si="2"/>
        <v>249578.35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--82120.65</f>
        <v>82120.649999999994</v>
      </c>
      <c r="E27" s="2"/>
      <c r="F27" s="23"/>
      <c r="G27" s="2"/>
      <c r="H27" s="2"/>
      <c r="I27" s="2"/>
      <c r="J27" s="23"/>
      <c r="K27" s="2"/>
      <c r="L27" s="2">
        <f t="shared" si="0"/>
        <v>82120.649999999994</v>
      </c>
      <c r="M27" s="2"/>
      <c r="N27" s="23">
        <f t="shared" si="1"/>
        <v>0</v>
      </c>
      <c r="O27" s="11"/>
      <c r="P27" s="2">
        <f>--103309.56</f>
        <v>103309.56</v>
      </c>
      <c r="Q27" s="2"/>
      <c r="R27" s="23"/>
      <c r="S27" s="2"/>
      <c r="T27" s="2"/>
      <c r="U27" s="2"/>
      <c r="V27" s="23"/>
      <c r="W27" s="2"/>
      <c r="X27" s="2">
        <f t="shared" si="2"/>
        <v>103309.56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--30421.14</f>
        <v>30421.14</v>
      </c>
      <c r="E28" s="2"/>
      <c r="F28" s="23"/>
      <c r="G28" s="2"/>
      <c r="H28" s="2"/>
      <c r="I28" s="2"/>
      <c r="J28" s="23"/>
      <c r="K28" s="2"/>
      <c r="L28" s="2">
        <f t="shared" si="0"/>
        <v>30421.14</v>
      </c>
      <c r="M28" s="2"/>
      <c r="N28" s="23">
        <f t="shared" si="1"/>
        <v>0</v>
      </c>
      <c r="O28" s="11"/>
      <c r="P28" s="2">
        <f>--39925.04</f>
        <v>39925.040000000001</v>
      </c>
      <c r="Q28" s="2"/>
      <c r="R28" s="23"/>
      <c r="S28" s="2"/>
      <c r="T28" s="2"/>
      <c r="U28" s="2"/>
      <c r="V28" s="23"/>
      <c r="W28" s="2"/>
      <c r="X28" s="2">
        <f t="shared" si="2"/>
        <v>39925.040000000001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--6768.27</f>
        <v>6768.27</v>
      </c>
      <c r="E29" s="2"/>
      <c r="F29" s="23"/>
      <c r="G29" s="2"/>
      <c r="H29" s="2"/>
      <c r="I29" s="2"/>
      <c r="J29" s="23"/>
      <c r="K29" s="2"/>
      <c r="L29" s="2">
        <f t="shared" si="0"/>
        <v>6768.27</v>
      </c>
      <c r="M29" s="2"/>
      <c r="N29" s="23">
        <f t="shared" si="1"/>
        <v>0</v>
      </c>
      <c r="O29" s="11"/>
      <c r="P29" s="2">
        <f>--6985.63</f>
        <v>6985.63</v>
      </c>
      <c r="Q29" s="2"/>
      <c r="R29" s="23"/>
      <c r="S29" s="2"/>
      <c r="T29" s="2"/>
      <c r="U29" s="2"/>
      <c r="V29" s="23"/>
      <c r="W29" s="2"/>
      <c r="X29" s="2">
        <f t="shared" si="2"/>
        <v>6985.63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--6568.52</f>
        <v>6568.52</v>
      </c>
      <c r="E30" s="2"/>
      <c r="F30" s="23"/>
      <c r="G30" s="2"/>
      <c r="H30" s="2"/>
      <c r="I30" s="2"/>
      <c r="J30" s="23"/>
      <c r="K30" s="2"/>
      <c r="L30" s="2">
        <f t="shared" si="0"/>
        <v>6568.52</v>
      </c>
      <c r="M30" s="2"/>
      <c r="N30" s="23">
        <f t="shared" si="1"/>
        <v>0</v>
      </c>
      <c r="O30" s="11"/>
      <c r="P30" s="2">
        <f>--8369.2</f>
        <v>8369.2000000000007</v>
      </c>
      <c r="Q30" s="2"/>
      <c r="R30" s="23"/>
      <c r="S30" s="2"/>
      <c r="T30" s="2"/>
      <c r="U30" s="2"/>
      <c r="V30" s="23"/>
      <c r="W30" s="2"/>
      <c r="X30" s="2">
        <f t="shared" si="2"/>
        <v>8369.2000000000007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--46004.35</f>
        <v>46004.35</v>
      </c>
      <c r="E31" s="2"/>
      <c r="F31" s="23"/>
      <c r="G31" s="2"/>
      <c r="H31" s="2"/>
      <c r="I31" s="2"/>
      <c r="J31" s="23"/>
      <c r="K31" s="2"/>
      <c r="L31" s="2">
        <f t="shared" si="0"/>
        <v>46004.35</v>
      </c>
      <c r="M31" s="2"/>
      <c r="N31" s="23">
        <f t="shared" si="1"/>
        <v>0</v>
      </c>
      <c r="O31" s="11"/>
      <c r="P31" s="2">
        <f>--89431.08</f>
        <v>89431.08</v>
      </c>
      <c r="Q31" s="2"/>
      <c r="R31" s="23"/>
      <c r="S31" s="2"/>
      <c r="T31" s="2"/>
      <c r="U31" s="2"/>
      <c r="V31" s="23"/>
      <c r="W31" s="2"/>
      <c r="X31" s="2">
        <f t="shared" si="2"/>
        <v>89431.08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"4100", " - ", "NON-TAXABLE SALES")</f>
        <v xml:space="preserve">          4100 - NON-TAXABLE SALES</v>
      </c>
      <c r="C32" s="11"/>
      <c r="D32" s="2">
        <f>--150360.03</f>
        <v>150360.03</v>
      </c>
      <c r="E32" s="2"/>
      <c r="F32" s="23"/>
      <c r="G32" s="2"/>
      <c r="H32" s="2">
        <v>7326</v>
      </c>
      <c r="I32" s="2"/>
      <c r="J32" s="23"/>
      <c r="K32" s="2"/>
      <c r="L32" s="2">
        <f t="shared" si="0"/>
        <v>143034.03</v>
      </c>
      <c r="M32" s="2"/>
      <c r="N32" s="23">
        <f t="shared" si="1"/>
        <v>19.524164619164619</v>
      </c>
      <c r="O32" s="11"/>
      <c r="P32" s="2">
        <f>--153398.33</f>
        <v>153398.32999999999</v>
      </c>
      <c r="Q32" s="2"/>
      <c r="R32" s="23"/>
      <c r="S32" s="2"/>
      <c r="T32" s="2">
        <v>7826</v>
      </c>
      <c r="U32" s="2"/>
      <c r="V32" s="23"/>
      <c r="W32" s="2"/>
      <c r="X32" s="2">
        <f t="shared" si="2"/>
        <v>145572.32999999999</v>
      </c>
      <c r="Y32" s="2"/>
      <c r="Z32" s="23">
        <f t="shared" si="3"/>
        <v>18.601115512394582</v>
      </c>
    </row>
    <row r="33" spans="1:26" s="24" customFormat="1" hidden="1" outlineLevel="1" x14ac:dyDescent="0.25">
      <c r="A33" s="51"/>
      <c r="B33" s="11" t="str">
        <f>CONCATENATE("          ", "4101", " - ", "NON-TAXABLE SALES-NEW TEXT")</f>
        <v xml:space="preserve">          4101 - NON-TAXABLE SALES-NEW TEXT</v>
      </c>
      <c r="C33" s="11"/>
      <c r="D33" s="2">
        <f>--41238.82</f>
        <v>41238.82</v>
      </c>
      <c r="E33" s="2"/>
      <c r="F33" s="23"/>
      <c r="G33" s="2"/>
      <c r="H33" s="2"/>
      <c r="I33" s="2"/>
      <c r="J33" s="23"/>
      <c r="K33" s="2"/>
      <c r="L33" s="2">
        <f t="shared" si="0"/>
        <v>41238.82</v>
      </c>
      <c r="M33" s="2"/>
      <c r="N33" s="23">
        <f t="shared" si="1"/>
        <v>0</v>
      </c>
      <c r="O33" s="11"/>
      <c r="P33" s="2">
        <f>--51580.68</f>
        <v>51580.68</v>
      </c>
      <c r="Q33" s="2"/>
      <c r="R33" s="23"/>
      <c r="S33" s="2"/>
      <c r="T33" s="2"/>
      <c r="U33" s="2"/>
      <c r="V33" s="23"/>
      <c r="W33" s="2"/>
      <c r="X33" s="2">
        <f t="shared" si="2"/>
        <v>51580.68</v>
      </c>
      <c r="Y33" s="2"/>
      <c r="Z33" s="23">
        <f t="shared" si="3"/>
        <v>0</v>
      </c>
    </row>
    <row r="34" spans="1:26" s="24" customFormat="1" hidden="1" outlineLevel="1" x14ac:dyDescent="0.25">
      <c r="A34" s="51"/>
      <c r="B34" s="11" t="str">
        <f>CONCATENATE("          ", "4102", " - ", "NON-TAXABLE SALES-USED TEXT")</f>
        <v xml:space="preserve">          4102 - NON-TAXABLE SALES-USED TEXT</v>
      </c>
      <c r="C34" s="11"/>
      <c r="D34" s="2">
        <f>--17373.3</f>
        <v>17373.3</v>
      </c>
      <c r="E34" s="2"/>
      <c r="F34" s="23"/>
      <c r="G34" s="2"/>
      <c r="H34" s="2"/>
      <c r="I34" s="2"/>
      <c r="J34" s="23"/>
      <c r="K34" s="2"/>
      <c r="L34" s="2">
        <f t="shared" si="0"/>
        <v>17373.3</v>
      </c>
      <c r="M34" s="2"/>
      <c r="N34" s="23">
        <f t="shared" si="1"/>
        <v>0</v>
      </c>
      <c r="O34" s="11"/>
      <c r="P34" s="2">
        <f>--21563.74</f>
        <v>21563.74</v>
      </c>
      <c r="Q34" s="2"/>
      <c r="R34" s="23"/>
      <c r="S34" s="2"/>
      <c r="T34" s="2"/>
      <c r="U34" s="2"/>
      <c r="V34" s="23"/>
      <c r="W34" s="2"/>
      <c r="X34" s="2">
        <f t="shared" si="2"/>
        <v>21563.74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"4104", " - ", "NON-TAXABLE SALES-DIGITAL TEXT")</f>
        <v xml:space="preserve">          4104 - NON-TAXABLE SALES-DIGITAL TEXT</v>
      </c>
      <c r="C35" s="11"/>
      <c r="D35" s="2">
        <f>--205404.66</f>
        <v>205404.66</v>
      </c>
      <c r="E35" s="2"/>
      <c r="F35" s="23"/>
      <c r="G35" s="2"/>
      <c r="H35" s="2"/>
      <c r="I35" s="2"/>
      <c r="J35" s="23"/>
      <c r="K35" s="2"/>
      <c r="L35" s="2">
        <f t="shared" si="0"/>
        <v>205404.66</v>
      </c>
      <c r="M35" s="2"/>
      <c r="N35" s="23">
        <f t="shared" si="1"/>
        <v>0</v>
      </c>
      <c r="O35" s="11"/>
      <c r="P35" s="2">
        <f>--212890.18</f>
        <v>212890.18</v>
      </c>
      <c r="Q35" s="2"/>
      <c r="R35" s="23"/>
      <c r="S35" s="2"/>
      <c r="T35" s="2"/>
      <c r="U35" s="2"/>
      <c r="V35" s="23"/>
      <c r="W35" s="2"/>
      <c r="X35" s="2">
        <f t="shared" si="2"/>
        <v>212890.18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"4118", " - ", "NON-TAXABLE SALES-STUDY GUIDES")</f>
        <v xml:space="preserve">          4118 - NON-TAXABLE SALES-STUDY GUIDES</v>
      </c>
      <c r="C36" s="11"/>
      <c r="D36" s="2">
        <f>--47.87</f>
        <v>47.87</v>
      </c>
      <c r="E36" s="2"/>
      <c r="F36" s="23"/>
      <c r="G36" s="2"/>
      <c r="H36" s="2"/>
      <c r="I36" s="2"/>
      <c r="J36" s="23"/>
      <c r="K36" s="2"/>
      <c r="L36" s="2">
        <f t="shared" si="0"/>
        <v>47.87</v>
      </c>
      <c r="M36" s="2"/>
      <c r="N36" s="23">
        <f t="shared" si="1"/>
        <v>0</v>
      </c>
      <c r="O36" s="11"/>
      <c r="P36" s="2">
        <f>--101.83</f>
        <v>101.83</v>
      </c>
      <c r="Q36" s="2"/>
      <c r="R36" s="23"/>
      <c r="S36" s="2"/>
      <c r="T36" s="2"/>
      <c r="U36" s="2"/>
      <c r="V36" s="23"/>
      <c r="W36" s="2"/>
      <c r="X36" s="2">
        <f t="shared" si="2"/>
        <v>101.83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"4126", " - ", "NON-TAXABLE SALES-WRITING INST")</f>
        <v xml:space="preserve">          4126 - NON-TAXABLE SALES-WRITING INST</v>
      </c>
      <c r="C37" s="11"/>
      <c r="D37" s="2">
        <f>0</f>
        <v>0</v>
      </c>
      <c r="E37" s="2"/>
      <c r="F37" s="23"/>
      <c r="G37" s="2"/>
      <c r="H37" s="2"/>
      <c r="I37" s="2"/>
      <c r="J37" s="23"/>
      <c r="K37" s="2"/>
      <c r="L37" s="2">
        <f t="shared" si="0"/>
        <v>0</v>
      </c>
      <c r="M37" s="2"/>
      <c r="N37" s="23">
        <f t="shared" si="1"/>
        <v>0</v>
      </c>
      <c r="O37" s="11"/>
      <c r="P37" s="2">
        <f>--52.68</f>
        <v>52.68</v>
      </c>
      <c r="Q37" s="2"/>
      <c r="R37" s="23"/>
      <c r="S37" s="2"/>
      <c r="T37" s="2"/>
      <c r="U37" s="2"/>
      <c r="V37" s="23"/>
      <c r="W37" s="2"/>
      <c r="X37" s="2">
        <f t="shared" si="2"/>
        <v>52.68</v>
      </c>
      <c r="Y37" s="2"/>
      <c r="Z37" s="23">
        <f t="shared" si="3"/>
        <v>0</v>
      </c>
    </row>
    <row r="38" spans="1:26" s="24" customFormat="1" hidden="1" outlineLevel="1" x14ac:dyDescent="0.25">
      <c r="A38" s="51"/>
      <c r="B38" s="11" t="str">
        <f>CONCATENATE("          ", "4127", " - ", "NON-TAXABLE SALES-SCHOOL SUPPL")</f>
        <v xml:space="preserve">          4127 - NON-TAXABLE SALES-SCHOOL SUPPL</v>
      </c>
      <c r="C38" s="11"/>
      <c r="D38" s="2">
        <f>--1788.16</f>
        <v>1788.16</v>
      </c>
      <c r="E38" s="2"/>
      <c r="F38" s="23"/>
      <c r="G38" s="2"/>
      <c r="H38" s="2"/>
      <c r="I38" s="2"/>
      <c r="J38" s="23"/>
      <c r="K38" s="2"/>
      <c r="L38" s="2">
        <f t="shared" si="0"/>
        <v>1788.16</v>
      </c>
      <c r="M38" s="2"/>
      <c r="N38" s="23">
        <f t="shared" si="1"/>
        <v>0</v>
      </c>
      <c r="O38" s="11"/>
      <c r="P38" s="2">
        <f>--1860.41</f>
        <v>1860.41</v>
      </c>
      <c r="Q38" s="2"/>
      <c r="R38" s="23"/>
      <c r="S38" s="2"/>
      <c r="T38" s="2"/>
      <c r="U38" s="2"/>
      <c r="V38" s="23"/>
      <c r="W38" s="2"/>
      <c r="X38" s="2">
        <f t="shared" si="2"/>
        <v>1860.41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"4131", " - ", "NON-TAXABLE SALES-FOOD")</f>
        <v xml:space="preserve">          4131 - NON-TAXABLE SALES-FOOD</v>
      </c>
      <c r="C39" s="11"/>
      <c r="D39" s="2">
        <f>--1575.79</f>
        <v>1575.79</v>
      </c>
      <c r="E39" s="2"/>
      <c r="F39" s="23"/>
      <c r="G39" s="2"/>
      <c r="H39" s="2"/>
      <c r="I39" s="2"/>
      <c r="J39" s="23"/>
      <c r="K39" s="2"/>
      <c r="L39" s="2">
        <f t="shared" si="0"/>
        <v>1575.79</v>
      </c>
      <c r="M39" s="2"/>
      <c r="N39" s="23">
        <f t="shared" si="1"/>
        <v>0</v>
      </c>
      <c r="O39" s="11"/>
      <c r="P39" s="2">
        <f>--1835.22</f>
        <v>1835.22</v>
      </c>
      <c r="Q39" s="2"/>
      <c r="R39" s="23"/>
      <c r="S39" s="2"/>
      <c r="T39" s="2"/>
      <c r="U39" s="2"/>
      <c r="V39" s="23"/>
      <c r="W39" s="2"/>
      <c r="X39" s="2">
        <f t="shared" si="2"/>
        <v>1835.22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"4132", " - ", "NON-TAXABLE SALES-JUICE")</f>
        <v xml:space="preserve">          4132 - NON-TAXABLE SALES-JUICE</v>
      </c>
      <c r="C40" s="11"/>
      <c r="D40" s="2">
        <f>0</f>
        <v>0</v>
      </c>
      <c r="E40" s="2"/>
      <c r="F40" s="23"/>
      <c r="G40" s="2"/>
      <c r="H40" s="2"/>
      <c r="I40" s="2"/>
      <c r="J40" s="23"/>
      <c r="K40" s="2"/>
      <c r="L40" s="2">
        <f t="shared" si="0"/>
        <v>0</v>
      </c>
      <c r="M40" s="2"/>
      <c r="N40" s="23">
        <f t="shared" si="1"/>
        <v>0</v>
      </c>
      <c r="O40" s="11"/>
      <c r="P40" s="2">
        <f>--22.49</f>
        <v>22.49</v>
      </c>
      <c r="Q40" s="2"/>
      <c r="R40" s="23"/>
      <c r="S40" s="2"/>
      <c r="T40" s="2"/>
      <c r="U40" s="2"/>
      <c r="V40" s="23"/>
      <c r="W40" s="2"/>
      <c r="X40" s="2">
        <f t="shared" si="2"/>
        <v>22.49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"4133", " - ", "NON-TAXABLE SALES-CANDY")</f>
        <v xml:space="preserve">          4133 - NON-TAXABLE SALES-CANDY</v>
      </c>
      <c r="C41" s="11"/>
      <c r="D41" s="2">
        <f>--12.43</f>
        <v>12.43</v>
      </c>
      <c r="E41" s="2"/>
      <c r="F41" s="23"/>
      <c r="G41" s="2"/>
      <c r="H41" s="2"/>
      <c r="I41" s="2"/>
      <c r="J41" s="23"/>
      <c r="K41" s="2"/>
      <c r="L41" s="2">
        <f t="shared" si="0"/>
        <v>12.43</v>
      </c>
      <c r="M41" s="2"/>
      <c r="N41" s="23">
        <f t="shared" si="1"/>
        <v>0</v>
      </c>
      <c r="O41" s="11"/>
      <c r="P41" s="2">
        <f>--80.71</f>
        <v>80.709999999999994</v>
      </c>
      <c r="Q41" s="2"/>
      <c r="R41" s="23"/>
      <c r="S41" s="2"/>
      <c r="T41" s="2"/>
      <c r="U41" s="2"/>
      <c r="V41" s="23"/>
      <c r="W41" s="2"/>
      <c r="X41" s="2">
        <f t="shared" si="2"/>
        <v>80.709999999999994</v>
      </c>
      <c r="Y41" s="2"/>
      <c r="Z41" s="23">
        <f t="shared" si="3"/>
        <v>0</v>
      </c>
    </row>
    <row r="42" spans="1:26" s="24" customFormat="1" hidden="1" outlineLevel="1" x14ac:dyDescent="0.25">
      <c r="A42" s="51"/>
      <c r="B42" s="11" t="str">
        <f>CONCATENATE("          ", "4134", " - ", "NON-TAXABLE SALES-SODA")</f>
        <v xml:space="preserve">          4134 - NON-TAXABLE SALES-SODA</v>
      </c>
      <c r="C42" s="11"/>
      <c r="D42" s="2">
        <f t="shared" ref="D42:D43" si="4">0</f>
        <v>0</v>
      </c>
      <c r="E42" s="2"/>
      <c r="F42" s="23"/>
      <c r="G42" s="2"/>
      <c r="H42" s="2"/>
      <c r="I42" s="2"/>
      <c r="J42" s="23"/>
      <c r="K42" s="2"/>
      <c r="L42" s="2">
        <f t="shared" si="0"/>
        <v>0</v>
      </c>
      <c r="M42" s="2"/>
      <c r="N42" s="23">
        <f t="shared" si="1"/>
        <v>0</v>
      </c>
      <c r="O42" s="11"/>
      <c r="P42" s="2">
        <f>--45.53</f>
        <v>45.53</v>
      </c>
      <c r="Q42" s="2"/>
      <c r="R42" s="23"/>
      <c r="S42" s="2"/>
      <c r="T42" s="2"/>
      <c r="U42" s="2"/>
      <c r="V42" s="23"/>
      <c r="W42" s="2"/>
      <c r="X42" s="2">
        <f t="shared" si="2"/>
        <v>45.53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"4137", " - ", "NON-TAXABLE SALES-WATER")</f>
        <v xml:space="preserve">          4137 - NON-TAXABLE SALES-WATER</v>
      </c>
      <c r="C43" s="11"/>
      <c r="D43" s="2">
        <f t="shared" si="4"/>
        <v>0</v>
      </c>
      <c r="E43" s="2"/>
      <c r="F43" s="23"/>
      <c r="G43" s="2"/>
      <c r="H43" s="2"/>
      <c r="I43" s="2"/>
      <c r="J43" s="23"/>
      <c r="K43" s="2"/>
      <c r="L43" s="2">
        <f t="shared" si="0"/>
        <v>0</v>
      </c>
      <c r="M43" s="2"/>
      <c r="N43" s="23">
        <f t="shared" si="1"/>
        <v>0</v>
      </c>
      <c r="O43" s="11"/>
      <c r="P43" s="2">
        <f>--68.25</f>
        <v>68.25</v>
      </c>
      <c r="Q43" s="2"/>
      <c r="R43" s="23"/>
      <c r="S43" s="2"/>
      <c r="T43" s="2"/>
      <c r="U43" s="2"/>
      <c r="V43" s="23"/>
      <c r="W43" s="2"/>
      <c r="X43" s="2">
        <f t="shared" si="2"/>
        <v>68.25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"4140", " - ", "NON-TAXABLE SALES-LOGO CLOTHIN")</f>
        <v xml:space="preserve">          4140 - NON-TAXABLE SALES-LOGO CLOTHIN</v>
      </c>
      <c r="C44" s="11"/>
      <c r="D44" s="2">
        <f>--7266.5</f>
        <v>7266.5</v>
      </c>
      <c r="E44" s="2"/>
      <c r="F44" s="23"/>
      <c r="G44" s="2"/>
      <c r="H44" s="2"/>
      <c r="I44" s="2"/>
      <c r="J44" s="23"/>
      <c r="K44" s="2"/>
      <c r="L44" s="2">
        <f t="shared" si="0"/>
        <v>7266.5</v>
      </c>
      <c r="M44" s="2"/>
      <c r="N44" s="23">
        <f t="shared" si="1"/>
        <v>0</v>
      </c>
      <c r="O44" s="11"/>
      <c r="P44" s="2">
        <f>--14112.74</f>
        <v>14112.74</v>
      </c>
      <c r="Q44" s="2"/>
      <c r="R44" s="23"/>
      <c r="S44" s="2"/>
      <c r="T44" s="2"/>
      <c r="U44" s="2"/>
      <c r="V44" s="23"/>
      <c r="W44" s="2"/>
      <c r="X44" s="2">
        <f t="shared" si="2"/>
        <v>14112.74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"4141", " - ", "NON-TAXABLE SALES-LOGO GIFTS")</f>
        <v xml:space="preserve">          4141 - NON-TAXABLE SALES-LOGO GIFTS</v>
      </c>
      <c r="C45" s="11"/>
      <c r="D45" s="2">
        <f>--1189.06</f>
        <v>1189.06</v>
      </c>
      <c r="E45" s="2"/>
      <c r="F45" s="23"/>
      <c r="G45" s="2"/>
      <c r="H45" s="2"/>
      <c r="I45" s="2"/>
      <c r="J45" s="23"/>
      <c r="K45" s="2"/>
      <c r="L45" s="2">
        <f t="shared" si="0"/>
        <v>1189.06</v>
      </c>
      <c r="M45" s="2"/>
      <c r="N45" s="23">
        <f t="shared" si="1"/>
        <v>0</v>
      </c>
      <c r="O45" s="11"/>
      <c r="P45" s="2">
        <f>--2389.25</f>
        <v>2389.25</v>
      </c>
      <c r="Q45" s="2"/>
      <c r="R45" s="23"/>
      <c r="S45" s="2"/>
      <c r="T45" s="2"/>
      <c r="U45" s="2"/>
      <c r="V45" s="23"/>
      <c r="W45" s="2"/>
      <c r="X45" s="2">
        <f t="shared" si="2"/>
        <v>2389.25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"4142", " - ", "NON-TAXABLE SALES-EVERYDAY GIF")</f>
        <v xml:space="preserve">          4142 - NON-TAXABLE SALES-EVERYDAY GIF</v>
      </c>
      <c r="C46" s="11"/>
      <c r="D46" s="2">
        <f>--339.4</f>
        <v>339.4</v>
      </c>
      <c r="E46" s="2"/>
      <c r="F46" s="23"/>
      <c r="G46" s="2"/>
      <c r="H46" s="2"/>
      <c r="I46" s="2"/>
      <c r="J46" s="23"/>
      <c r="K46" s="2"/>
      <c r="L46" s="2">
        <f t="shared" si="0"/>
        <v>339.4</v>
      </c>
      <c r="M46" s="2"/>
      <c r="N46" s="23">
        <f t="shared" si="1"/>
        <v>0</v>
      </c>
      <c r="O46" s="11"/>
      <c r="P46" s="2">
        <f>--979.57</f>
        <v>979.57</v>
      </c>
      <c r="Q46" s="2"/>
      <c r="R46" s="23"/>
      <c r="S46" s="2"/>
      <c r="T46" s="2"/>
      <c r="U46" s="2"/>
      <c r="V46" s="23"/>
      <c r="W46" s="2"/>
      <c r="X46" s="2">
        <f t="shared" si="2"/>
        <v>979.57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"4143", " - ", "NON-TAXABLE SALES-CARDS")</f>
        <v xml:space="preserve">          4143 - NON-TAXABLE SALES-CARDS</v>
      </c>
      <c r="C47" s="11"/>
      <c r="D47" s="2">
        <f>--19.98</f>
        <v>19.98</v>
      </c>
      <c r="E47" s="2"/>
      <c r="F47" s="23"/>
      <c r="G47" s="2"/>
      <c r="H47" s="2"/>
      <c r="I47" s="2"/>
      <c r="J47" s="23"/>
      <c r="K47" s="2"/>
      <c r="L47" s="2">
        <f t="shared" si="0"/>
        <v>19.98</v>
      </c>
      <c r="M47" s="2"/>
      <c r="N47" s="23">
        <f t="shared" si="1"/>
        <v>0</v>
      </c>
      <c r="O47" s="11"/>
      <c r="P47" s="2">
        <f>--19.98</f>
        <v>19.98</v>
      </c>
      <c r="Q47" s="2"/>
      <c r="R47" s="23"/>
      <c r="S47" s="2"/>
      <c r="T47" s="2"/>
      <c r="U47" s="2"/>
      <c r="V47" s="23"/>
      <c r="W47" s="2"/>
      <c r="X47" s="2">
        <f t="shared" si="2"/>
        <v>19.98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"4144", " - ", "NON-TAXABLE SALES-ACCESSORIES")</f>
        <v xml:space="preserve">          4144 - NON-TAXABLE SALES-ACCESSORIES</v>
      </c>
      <c r="C48" s="11"/>
      <c r="D48" s="2">
        <f>--107.95</f>
        <v>107.95</v>
      </c>
      <c r="E48" s="2"/>
      <c r="F48" s="23"/>
      <c r="G48" s="2"/>
      <c r="H48" s="2"/>
      <c r="I48" s="2"/>
      <c r="J48" s="23"/>
      <c r="K48" s="2"/>
      <c r="L48" s="2">
        <f t="shared" si="0"/>
        <v>107.95</v>
      </c>
      <c r="M48" s="2"/>
      <c r="N48" s="23">
        <f t="shared" si="1"/>
        <v>0</v>
      </c>
      <c r="O48" s="11"/>
      <c r="P48" s="2">
        <f>--155.8</f>
        <v>155.80000000000001</v>
      </c>
      <c r="Q48" s="2"/>
      <c r="R48" s="23"/>
      <c r="S48" s="2"/>
      <c r="T48" s="2"/>
      <c r="U48" s="2"/>
      <c r="V48" s="23"/>
      <c r="W48" s="2"/>
      <c r="X48" s="2">
        <f t="shared" si="2"/>
        <v>155.80000000000001</v>
      </c>
      <c r="Y48" s="2"/>
      <c r="Z48" s="23">
        <f t="shared" si="3"/>
        <v>0</v>
      </c>
    </row>
    <row r="49" spans="1:26" s="24" customFormat="1" hidden="1" outlineLevel="1" x14ac:dyDescent="0.25">
      <c r="A49" s="51"/>
      <c r="B49" s="11" t="str">
        <f>CONCATENATE("          ", "4145", " - ", "NON-TAXABLE SALES-SPECIAL ORDE")</f>
        <v xml:space="preserve">          4145 - NON-TAXABLE SALES-SPECIAL ORDE</v>
      </c>
      <c r="C49" s="11"/>
      <c r="D49" s="2">
        <f>--350</f>
        <v>350</v>
      </c>
      <c r="E49" s="2"/>
      <c r="F49" s="23"/>
      <c r="G49" s="2"/>
      <c r="H49" s="2"/>
      <c r="I49" s="2"/>
      <c r="J49" s="23"/>
      <c r="K49" s="2"/>
      <c r="L49" s="2">
        <f t="shared" si="0"/>
        <v>350</v>
      </c>
      <c r="M49" s="2"/>
      <c r="N49" s="23">
        <f t="shared" si="1"/>
        <v>0</v>
      </c>
      <c r="O49" s="11"/>
      <c r="P49" s="2">
        <f>--35846</f>
        <v>35846</v>
      </c>
      <c r="Q49" s="2"/>
      <c r="R49" s="23"/>
      <c r="S49" s="2"/>
      <c r="T49" s="2"/>
      <c r="U49" s="2"/>
      <c r="V49" s="23"/>
      <c r="W49" s="2"/>
      <c r="X49" s="2">
        <f t="shared" si="2"/>
        <v>35846</v>
      </c>
      <c r="Y49" s="2"/>
      <c r="Z49" s="23">
        <f t="shared" si="3"/>
        <v>0</v>
      </c>
    </row>
    <row r="50" spans="1:26" s="24" customFormat="1" hidden="1" outlineLevel="1" x14ac:dyDescent="0.25">
      <c r="A50" s="51"/>
      <c r="B50" s="11" t="str">
        <f>CONCATENATE("          ", "4146", " - ", "NON-TAXABLE SALES-COIN OP MACH")</f>
        <v xml:space="preserve">          4146 - NON-TAXABLE SALES-COIN OP MACH</v>
      </c>
      <c r="C50" s="11"/>
      <c r="D50" s="2">
        <f>--15.5</f>
        <v>15.5</v>
      </c>
      <c r="E50" s="2"/>
      <c r="F50" s="23"/>
      <c r="G50" s="2"/>
      <c r="H50" s="2"/>
      <c r="I50" s="2"/>
      <c r="J50" s="23"/>
      <c r="K50" s="2"/>
      <c r="L50" s="2">
        <f t="shared" si="0"/>
        <v>15.5</v>
      </c>
      <c r="M50" s="2"/>
      <c r="N50" s="23">
        <f t="shared" si="1"/>
        <v>0</v>
      </c>
      <c r="O50" s="11"/>
      <c r="P50" s="2">
        <f>--15.5</f>
        <v>15.5</v>
      </c>
      <c r="Q50" s="2"/>
      <c r="R50" s="23"/>
      <c r="S50" s="2"/>
      <c r="T50" s="2"/>
      <c r="U50" s="2"/>
      <c r="V50" s="23"/>
      <c r="W50" s="2"/>
      <c r="X50" s="2">
        <f t="shared" si="2"/>
        <v>15.5</v>
      </c>
      <c r="Y50" s="2"/>
      <c r="Z50" s="23">
        <f t="shared" si="3"/>
        <v>0</v>
      </c>
    </row>
    <row r="51" spans="1:26" s="24" customFormat="1" hidden="1" outlineLevel="1" x14ac:dyDescent="0.25">
      <c r="A51" s="51"/>
      <c r="B51" s="11" t="str">
        <f>CONCATENATE("          ", "4147", " - ", "NON-TAXABLE SALES-MISC")</f>
        <v xml:space="preserve">          4147 - NON-TAXABLE SALES-MISC</v>
      </c>
      <c r="C51" s="11"/>
      <c r="D51" s="2">
        <f>--23</f>
        <v>23</v>
      </c>
      <c r="E51" s="2"/>
      <c r="F51" s="23"/>
      <c r="G51" s="2"/>
      <c r="H51" s="2"/>
      <c r="I51" s="2"/>
      <c r="J51" s="23"/>
      <c r="K51" s="2"/>
      <c r="L51" s="2">
        <f t="shared" si="0"/>
        <v>23</v>
      </c>
      <c r="M51" s="2"/>
      <c r="N51" s="23">
        <f t="shared" si="1"/>
        <v>0</v>
      </c>
      <c r="O51" s="11"/>
      <c r="P51" s="2">
        <f>--24</f>
        <v>24</v>
      </c>
      <c r="Q51" s="2"/>
      <c r="R51" s="23"/>
      <c r="S51" s="2"/>
      <c r="T51" s="2"/>
      <c r="U51" s="2"/>
      <c r="V51" s="23"/>
      <c r="W51" s="2"/>
      <c r="X51" s="2">
        <f t="shared" si="2"/>
        <v>24</v>
      </c>
      <c r="Y51" s="2"/>
      <c r="Z51" s="23">
        <f t="shared" si="3"/>
        <v>0</v>
      </c>
    </row>
    <row r="52" spans="1:26" s="24" customFormat="1" hidden="1" outlineLevel="1" x14ac:dyDescent="0.25">
      <c r="A52" s="51"/>
      <c r="B52" s="11" t="str">
        <f>CONCATENATE("          ", "4201", " - ", "SALES RETURN TAXABLE-NEW TEXT")</f>
        <v xml:space="preserve">          4201 - SALES RETURN TAXABLE-NEW TEXT</v>
      </c>
      <c r="C52" s="11"/>
      <c r="D52" s="2">
        <f>-18222.39</f>
        <v>-18222.39</v>
      </c>
      <c r="E52" s="2"/>
      <c r="F52" s="23"/>
      <c r="G52" s="2"/>
      <c r="H52" s="2"/>
      <c r="I52" s="2"/>
      <c r="J52" s="23"/>
      <c r="K52" s="2"/>
      <c r="L52" s="2">
        <f t="shared" si="0"/>
        <v>-18222.39</v>
      </c>
      <c r="M52" s="2"/>
      <c r="N52" s="23">
        <f t="shared" si="1"/>
        <v>0</v>
      </c>
      <c r="O52" s="11"/>
      <c r="P52" s="2">
        <f>-18855.79</f>
        <v>-18855.79</v>
      </c>
      <c r="Q52" s="2"/>
      <c r="R52" s="23"/>
      <c r="S52" s="2"/>
      <c r="T52" s="2"/>
      <c r="U52" s="2"/>
      <c r="V52" s="23"/>
      <c r="W52" s="2"/>
      <c r="X52" s="2">
        <f t="shared" si="2"/>
        <v>-18855.79</v>
      </c>
      <c r="Y52" s="2"/>
      <c r="Z52" s="23">
        <f t="shared" si="3"/>
        <v>0</v>
      </c>
    </row>
    <row r="53" spans="1:26" s="24" customFormat="1" hidden="1" outlineLevel="1" x14ac:dyDescent="0.25">
      <c r="A53" s="51"/>
      <c r="B53" s="11" t="str">
        <f>CONCATENATE("          ", "4202", " - ", "SALES RETURN TAXABLE-USED TEXT")</f>
        <v xml:space="preserve">          4202 - SALES RETURN TAXABLE-USED TEXT</v>
      </c>
      <c r="C53" s="11"/>
      <c r="D53" s="2">
        <f>-8869.4</f>
        <v>-8869.4</v>
      </c>
      <c r="E53" s="2"/>
      <c r="F53" s="23"/>
      <c r="G53" s="2"/>
      <c r="H53" s="2"/>
      <c r="I53" s="2"/>
      <c r="J53" s="23"/>
      <c r="K53" s="2"/>
      <c r="L53" s="2">
        <f t="shared" si="0"/>
        <v>-8869.4</v>
      </c>
      <c r="M53" s="2"/>
      <c r="N53" s="23">
        <f t="shared" si="1"/>
        <v>0</v>
      </c>
      <c r="O53" s="11"/>
      <c r="P53" s="2">
        <f>-9047.75</f>
        <v>-9047.75</v>
      </c>
      <c r="Q53" s="2"/>
      <c r="R53" s="23"/>
      <c r="S53" s="2"/>
      <c r="T53" s="2"/>
      <c r="U53" s="2"/>
      <c r="V53" s="23"/>
      <c r="W53" s="2"/>
      <c r="X53" s="2">
        <f t="shared" si="2"/>
        <v>-9047.75</v>
      </c>
      <c r="Y53" s="2"/>
      <c r="Z53" s="23">
        <f t="shared" si="3"/>
        <v>0</v>
      </c>
    </row>
    <row r="54" spans="1:26" s="24" customFormat="1" hidden="1" outlineLevel="1" x14ac:dyDescent="0.25">
      <c r="A54" s="51"/>
      <c r="B54" s="11" t="str">
        <f>CONCATENATE("          ", "4204", " - ", "SALES RETURN TAXABLE-DIGITAL T")</f>
        <v xml:space="preserve">          4204 - SALES RETURN TAXABLE-DIGITAL T</v>
      </c>
      <c r="C54" s="11"/>
      <c r="D54" s="2">
        <f>-1141.08</f>
        <v>-1141.08</v>
      </c>
      <c r="E54" s="2"/>
      <c r="F54" s="23"/>
      <c r="G54" s="2"/>
      <c r="H54" s="2"/>
      <c r="I54" s="2"/>
      <c r="J54" s="23"/>
      <c r="K54" s="2"/>
      <c r="L54" s="2">
        <f t="shared" si="0"/>
        <v>-1141.08</v>
      </c>
      <c r="M54" s="2"/>
      <c r="N54" s="23">
        <f t="shared" si="1"/>
        <v>0</v>
      </c>
      <c r="O54" s="11"/>
      <c r="P54" s="2">
        <f>-1141.08</f>
        <v>-1141.08</v>
      </c>
      <c r="Q54" s="2"/>
      <c r="R54" s="23"/>
      <c r="S54" s="2"/>
      <c r="T54" s="2"/>
      <c r="U54" s="2"/>
      <c r="V54" s="23"/>
      <c r="W54" s="2"/>
      <c r="X54" s="2">
        <f t="shared" si="2"/>
        <v>-1141.08</v>
      </c>
      <c r="Y54" s="2"/>
      <c r="Z54" s="23">
        <f t="shared" si="3"/>
        <v>0</v>
      </c>
    </row>
    <row r="55" spans="1:26" s="24" customFormat="1" hidden="1" outlineLevel="1" x14ac:dyDescent="0.25">
      <c r="A55" s="51"/>
      <c r="B55" s="11" t="str">
        <f>CONCATENATE("          ", "4226", " - ", "SALES RETURN TAXABLE-WRITING I")</f>
        <v xml:space="preserve">          4226 - SALES RETURN TAXABLE-WRITING I</v>
      </c>
      <c r="C55" s="11"/>
      <c r="D55" s="2">
        <f>0</f>
        <v>0</v>
      </c>
      <c r="E55" s="2"/>
      <c r="F55" s="23"/>
      <c r="G55" s="2"/>
      <c r="H55" s="2"/>
      <c r="I55" s="2"/>
      <c r="J55" s="23"/>
      <c r="K55" s="2"/>
      <c r="L55" s="2">
        <f t="shared" si="0"/>
        <v>0</v>
      </c>
      <c r="M55" s="2"/>
      <c r="N55" s="23">
        <f t="shared" si="1"/>
        <v>0</v>
      </c>
      <c r="O55" s="11"/>
      <c r="P55" s="2">
        <f>-6.38</f>
        <v>-6.38</v>
      </c>
      <c r="Q55" s="2"/>
      <c r="R55" s="23"/>
      <c r="S55" s="2"/>
      <c r="T55" s="2"/>
      <c r="U55" s="2"/>
      <c r="V55" s="23"/>
      <c r="W55" s="2"/>
      <c r="X55" s="2">
        <f t="shared" si="2"/>
        <v>-6.38</v>
      </c>
      <c r="Y55" s="2"/>
      <c r="Z55" s="23">
        <f t="shared" si="3"/>
        <v>0</v>
      </c>
    </row>
    <row r="56" spans="1:26" s="24" customFormat="1" hidden="1" outlineLevel="1" x14ac:dyDescent="0.25">
      <c r="A56" s="51"/>
      <c r="B56" s="11" t="str">
        <f>CONCATENATE("          ", "4227", " - ", "SALES RETURN TAXABLE-SCHOOL SU")</f>
        <v xml:space="preserve">          4227 - SALES RETURN TAXABLE-SCHOOL SU</v>
      </c>
      <c r="C56" s="11"/>
      <c r="D56" s="2">
        <f>-359.61</f>
        <v>-359.61</v>
      </c>
      <c r="E56" s="2"/>
      <c r="F56" s="23"/>
      <c r="G56" s="2"/>
      <c r="H56" s="2"/>
      <c r="I56" s="2"/>
      <c r="J56" s="23"/>
      <c r="K56" s="2"/>
      <c r="L56" s="2">
        <f t="shared" si="0"/>
        <v>-359.61</v>
      </c>
      <c r="M56" s="2"/>
      <c r="N56" s="23">
        <f t="shared" si="1"/>
        <v>0</v>
      </c>
      <c r="O56" s="11"/>
      <c r="P56" s="2">
        <f>-416.38</f>
        <v>-416.38</v>
      </c>
      <c r="Q56" s="2"/>
      <c r="R56" s="23"/>
      <c r="S56" s="2"/>
      <c r="T56" s="2"/>
      <c r="U56" s="2"/>
      <c r="V56" s="23"/>
      <c r="W56" s="2"/>
      <c r="X56" s="2">
        <f t="shared" si="2"/>
        <v>-416.38</v>
      </c>
      <c r="Y56" s="2"/>
      <c r="Z56" s="23">
        <f t="shared" si="3"/>
        <v>0</v>
      </c>
    </row>
    <row r="57" spans="1:26" s="24" customFormat="1" hidden="1" outlineLevel="1" x14ac:dyDescent="0.25">
      <c r="A57" s="51"/>
      <c r="B57" s="11" t="str">
        <f>CONCATENATE("          ", "4228", " - ", "SALES RETURN TAXABLE-ART/TECH")</f>
        <v xml:space="preserve">          4228 - SALES RETURN TAXABLE-ART/TECH</v>
      </c>
      <c r="C57" s="11"/>
      <c r="D57" s="2">
        <f>-164.44</f>
        <v>-164.44</v>
      </c>
      <c r="E57" s="2"/>
      <c r="F57" s="23"/>
      <c r="G57" s="2"/>
      <c r="H57" s="2"/>
      <c r="I57" s="2"/>
      <c r="J57" s="23"/>
      <c r="K57" s="2"/>
      <c r="L57" s="2">
        <f t="shared" si="0"/>
        <v>-164.44</v>
      </c>
      <c r="M57" s="2"/>
      <c r="N57" s="23">
        <f t="shared" si="1"/>
        <v>0</v>
      </c>
      <c r="O57" s="11"/>
      <c r="P57" s="2">
        <f>-164.44</f>
        <v>-164.44</v>
      </c>
      <c r="Q57" s="2"/>
      <c r="R57" s="23"/>
      <c r="S57" s="2"/>
      <c r="T57" s="2"/>
      <c r="U57" s="2"/>
      <c r="V57" s="23"/>
      <c r="W57" s="2"/>
      <c r="X57" s="2">
        <f t="shared" si="2"/>
        <v>-164.44</v>
      </c>
      <c r="Y57" s="2"/>
      <c r="Z57" s="23">
        <f t="shared" si="3"/>
        <v>0</v>
      </c>
    </row>
    <row r="58" spans="1:26" s="24" customFormat="1" hidden="1" outlineLevel="1" x14ac:dyDescent="0.25">
      <c r="A58" s="51"/>
      <c r="B58" s="11" t="str">
        <f>CONCATENATE("          ", "4240", " - ", "SALES RETURN TAXABLE-LOGO CLOT")</f>
        <v xml:space="preserve">          4240 - SALES RETURN TAXABLE-LOGO CLOT</v>
      </c>
      <c r="C58" s="11"/>
      <c r="D58" s="2">
        <f>-4788.72</f>
        <v>-4788.72</v>
      </c>
      <c r="E58" s="2"/>
      <c r="F58" s="23"/>
      <c r="G58" s="2"/>
      <c r="H58" s="2"/>
      <c r="I58" s="2"/>
      <c r="J58" s="23"/>
      <c r="K58" s="2"/>
      <c r="L58" s="2">
        <f t="shared" si="0"/>
        <v>-4788.72</v>
      </c>
      <c r="M58" s="2"/>
      <c r="N58" s="23">
        <f t="shared" si="1"/>
        <v>0</v>
      </c>
      <c r="O58" s="11"/>
      <c r="P58" s="2">
        <f>-8156.82</f>
        <v>-8156.82</v>
      </c>
      <c r="Q58" s="2"/>
      <c r="R58" s="23"/>
      <c r="S58" s="2"/>
      <c r="T58" s="2"/>
      <c r="U58" s="2"/>
      <c r="V58" s="23"/>
      <c r="W58" s="2"/>
      <c r="X58" s="2">
        <f t="shared" si="2"/>
        <v>-8156.82</v>
      </c>
      <c r="Y58" s="2"/>
      <c r="Z58" s="23">
        <f t="shared" si="3"/>
        <v>0</v>
      </c>
    </row>
    <row r="59" spans="1:26" s="24" customFormat="1" hidden="1" outlineLevel="1" x14ac:dyDescent="0.25">
      <c r="A59" s="51"/>
      <c r="B59" s="11" t="str">
        <f>CONCATENATE("          ", "4241", " - ", "SALES RETURN TAXABLE-LOGO GIFT")</f>
        <v xml:space="preserve">          4241 - SALES RETURN TAXABLE-LOGO GIFT</v>
      </c>
      <c r="C59" s="11"/>
      <c r="D59" s="2">
        <f>-986.21</f>
        <v>-986.21</v>
      </c>
      <c r="E59" s="2"/>
      <c r="F59" s="23"/>
      <c r="G59" s="2"/>
      <c r="H59" s="2"/>
      <c r="I59" s="2"/>
      <c r="J59" s="23"/>
      <c r="K59" s="2"/>
      <c r="L59" s="2">
        <f t="shared" si="0"/>
        <v>-986.21</v>
      </c>
      <c r="M59" s="2"/>
      <c r="N59" s="23">
        <f t="shared" si="1"/>
        <v>0</v>
      </c>
      <c r="O59" s="11"/>
      <c r="P59" s="2">
        <f>-1328.19</f>
        <v>-1328.19</v>
      </c>
      <c r="Q59" s="2"/>
      <c r="R59" s="23"/>
      <c r="S59" s="2"/>
      <c r="T59" s="2"/>
      <c r="U59" s="2"/>
      <c r="V59" s="23"/>
      <c r="W59" s="2"/>
      <c r="X59" s="2">
        <f t="shared" si="2"/>
        <v>-1328.19</v>
      </c>
      <c r="Y59" s="2"/>
      <c r="Z59" s="23">
        <f t="shared" si="3"/>
        <v>0</v>
      </c>
    </row>
    <row r="60" spans="1:26" s="24" customFormat="1" hidden="1" outlineLevel="1" x14ac:dyDescent="0.25">
      <c r="A60" s="51"/>
      <c r="B60" s="11" t="str">
        <f>CONCATENATE("          ", "4242", " - ", "SALES RETURN TAXABLE-EVERYDAY")</f>
        <v xml:space="preserve">          4242 - SALES RETURN TAXABLE-EVERYDAY</v>
      </c>
      <c r="C60" s="11"/>
      <c r="D60" s="2">
        <f>-470.53</f>
        <v>-470.53</v>
      </c>
      <c r="E60" s="2"/>
      <c r="F60" s="23"/>
      <c r="G60" s="2"/>
      <c r="H60" s="2"/>
      <c r="I60" s="2"/>
      <c r="J60" s="23"/>
      <c r="K60" s="2"/>
      <c r="L60" s="2">
        <f t="shared" si="0"/>
        <v>-470.53</v>
      </c>
      <c r="M60" s="2"/>
      <c r="N60" s="23">
        <f t="shared" si="1"/>
        <v>0</v>
      </c>
      <c r="O60" s="11"/>
      <c r="P60" s="2">
        <f>-649.49</f>
        <v>-649.49</v>
      </c>
      <c r="Q60" s="2"/>
      <c r="R60" s="23"/>
      <c r="S60" s="2"/>
      <c r="T60" s="2"/>
      <c r="U60" s="2"/>
      <c r="V60" s="23"/>
      <c r="W60" s="2"/>
      <c r="X60" s="2">
        <f t="shared" si="2"/>
        <v>-649.49</v>
      </c>
      <c r="Y60" s="2"/>
      <c r="Z60" s="23">
        <f t="shared" si="3"/>
        <v>0</v>
      </c>
    </row>
    <row r="61" spans="1:26" s="24" customFormat="1" hidden="1" outlineLevel="1" x14ac:dyDescent="0.25">
      <c r="A61" s="51"/>
      <c r="B61" s="11" t="str">
        <f>CONCATENATE("          ", "4243", " - ", "SALES RETURN TAXABLE-CARDS")</f>
        <v xml:space="preserve">          4243 - SALES RETURN TAXABLE-CARDS</v>
      </c>
      <c r="C61" s="11"/>
      <c r="D61" s="2">
        <f>-93.43</f>
        <v>-93.43</v>
      </c>
      <c r="E61" s="2"/>
      <c r="F61" s="23"/>
      <c r="G61" s="2"/>
      <c r="H61" s="2"/>
      <c r="I61" s="2"/>
      <c r="J61" s="23"/>
      <c r="K61" s="2"/>
      <c r="L61" s="2">
        <f t="shared" si="0"/>
        <v>-93.43</v>
      </c>
      <c r="M61" s="2"/>
      <c r="N61" s="23">
        <f t="shared" si="1"/>
        <v>0</v>
      </c>
      <c r="O61" s="11"/>
      <c r="P61" s="2">
        <f>-93.43</f>
        <v>-93.43</v>
      </c>
      <c r="Q61" s="2"/>
      <c r="R61" s="23"/>
      <c r="S61" s="2"/>
      <c r="T61" s="2"/>
      <c r="U61" s="2"/>
      <c r="V61" s="23"/>
      <c r="W61" s="2"/>
      <c r="X61" s="2">
        <f t="shared" si="2"/>
        <v>-93.43</v>
      </c>
      <c r="Y61" s="2"/>
      <c r="Z61" s="23">
        <f t="shared" si="3"/>
        <v>0</v>
      </c>
    </row>
    <row r="62" spans="1:26" s="24" customFormat="1" hidden="1" outlineLevel="1" x14ac:dyDescent="0.25">
      <c r="A62" s="51"/>
      <c r="B62" s="11" t="str">
        <f>CONCATENATE("          ", "4244", " - ", "SALES RETURN TAXABLE-ACCESSORI")</f>
        <v xml:space="preserve">          4244 - SALES RETURN TAXABLE-ACCESSORI</v>
      </c>
      <c r="C62" s="11"/>
      <c r="D62" s="2">
        <f>-350.99</f>
        <v>-350.99</v>
      </c>
      <c r="E62" s="2"/>
      <c r="F62" s="23"/>
      <c r="G62" s="2"/>
      <c r="H62" s="2"/>
      <c r="I62" s="2"/>
      <c r="J62" s="23"/>
      <c r="K62" s="2"/>
      <c r="L62" s="2">
        <f t="shared" si="0"/>
        <v>-350.99</v>
      </c>
      <c r="M62" s="2"/>
      <c r="N62" s="23">
        <f t="shared" si="1"/>
        <v>0</v>
      </c>
      <c r="O62" s="11"/>
      <c r="P62" s="2">
        <f>-350.99</f>
        <v>-350.99</v>
      </c>
      <c r="Q62" s="2"/>
      <c r="R62" s="23"/>
      <c r="S62" s="2"/>
      <c r="T62" s="2"/>
      <c r="U62" s="2"/>
      <c r="V62" s="23"/>
      <c r="W62" s="2"/>
      <c r="X62" s="2">
        <f t="shared" si="2"/>
        <v>-350.99</v>
      </c>
      <c r="Y62" s="2"/>
      <c r="Z62" s="23">
        <f t="shared" si="3"/>
        <v>0</v>
      </c>
    </row>
    <row r="63" spans="1:26" s="24" customFormat="1" hidden="1" outlineLevel="1" x14ac:dyDescent="0.25">
      <c r="A63" s="51"/>
      <c r="B63" s="11" t="str">
        <f>CONCATENATE("          ", "4245", " - ", "SALES RETURN TAXABLE-SPECIAL O")</f>
        <v xml:space="preserve">          4245 - SALES RETURN TAXABLE-SPECIAL O</v>
      </c>
      <c r="C63" s="11"/>
      <c r="D63" s="2">
        <f>-57.96</f>
        <v>-57.96</v>
      </c>
      <c r="E63" s="2"/>
      <c r="F63" s="23"/>
      <c r="G63" s="2"/>
      <c r="H63" s="2"/>
      <c r="I63" s="2"/>
      <c r="J63" s="23"/>
      <c r="K63" s="2"/>
      <c r="L63" s="2">
        <f t="shared" si="0"/>
        <v>-57.96</v>
      </c>
      <c r="M63" s="2"/>
      <c r="N63" s="23">
        <f t="shared" si="1"/>
        <v>0</v>
      </c>
      <c r="O63" s="11"/>
      <c r="P63" s="2">
        <f>-1178.96</f>
        <v>-1178.96</v>
      </c>
      <c r="Q63" s="2"/>
      <c r="R63" s="23"/>
      <c r="S63" s="2"/>
      <c r="T63" s="2"/>
      <c r="U63" s="2"/>
      <c r="V63" s="23"/>
      <c r="W63" s="2"/>
      <c r="X63" s="2">
        <f t="shared" si="2"/>
        <v>-1178.96</v>
      </c>
      <c r="Y63" s="2"/>
      <c r="Z63" s="23">
        <f t="shared" si="3"/>
        <v>0</v>
      </c>
    </row>
    <row r="64" spans="1:26" s="24" customFormat="1" hidden="1" outlineLevel="1" x14ac:dyDescent="0.25">
      <c r="A64" s="51"/>
      <c r="B64" s="11" t="str">
        <f>CONCATENATE("          ", "4301", " - ", "SALES RETURN NON TAXABLE-NEW T")</f>
        <v xml:space="preserve">          4301 - SALES RETURN NON TAXABLE-NEW T</v>
      </c>
      <c r="C64" s="11"/>
      <c r="D64" s="2">
        <f>-20.25</f>
        <v>-20.25</v>
      </c>
      <c r="E64" s="2"/>
      <c r="F64" s="23"/>
      <c r="G64" s="2"/>
      <c r="H64" s="2"/>
      <c r="I64" s="2"/>
      <c r="J64" s="23"/>
      <c r="K64" s="2"/>
      <c r="L64" s="2">
        <f t="shared" si="0"/>
        <v>-20.25</v>
      </c>
      <c r="M64" s="2"/>
      <c r="N64" s="23">
        <f t="shared" si="1"/>
        <v>0</v>
      </c>
      <c r="O64" s="11"/>
      <c r="P64" s="2">
        <f>-20.25</f>
        <v>-20.25</v>
      </c>
      <c r="Q64" s="2"/>
      <c r="R64" s="23"/>
      <c r="S64" s="2"/>
      <c r="T64" s="2"/>
      <c r="U64" s="2"/>
      <c r="V64" s="23"/>
      <c r="W64" s="2"/>
      <c r="X64" s="2">
        <f t="shared" si="2"/>
        <v>-20.25</v>
      </c>
      <c r="Y64" s="2"/>
      <c r="Z64" s="23">
        <f t="shared" si="3"/>
        <v>0</v>
      </c>
    </row>
    <row r="65" spans="1:26" s="24" customFormat="1" hidden="1" outlineLevel="1" x14ac:dyDescent="0.25">
      <c r="A65" s="51"/>
      <c r="B65" s="11" t="str">
        <f>CONCATENATE("          ", "4302", " - ", "SALES RETURN NON TAXABLE-TEXT")</f>
        <v xml:space="preserve">          4302 - SALES RETURN NON TAXABLE-TEXT</v>
      </c>
      <c r="C65" s="11"/>
      <c r="D65" s="2">
        <f>-346.17</f>
        <v>-346.17</v>
      </c>
      <c r="E65" s="2"/>
      <c r="F65" s="23"/>
      <c r="G65" s="2"/>
      <c r="H65" s="2"/>
      <c r="I65" s="2"/>
      <c r="J65" s="23"/>
      <c r="K65" s="2"/>
      <c r="L65" s="2">
        <f t="shared" si="0"/>
        <v>-346.17</v>
      </c>
      <c r="M65" s="2"/>
      <c r="N65" s="23">
        <f t="shared" si="1"/>
        <v>0</v>
      </c>
      <c r="O65" s="11"/>
      <c r="P65" s="2">
        <f>-409.84</f>
        <v>-409.84</v>
      </c>
      <c r="Q65" s="2"/>
      <c r="R65" s="23"/>
      <c r="S65" s="2"/>
      <c r="T65" s="2"/>
      <c r="U65" s="2"/>
      <c r="V65" s="23"/>
      <c r="W65" s="2"/>
      <c r="X65" s="2">
        <f t="shared" si="2"/>
        <v>-409.84</v>
      </c>
      <c r="Y65" s="2"/>
      <c r="Z65" s="23">
        <f t="shared" si="3"/>
        <v>0</v>
      </c>
    </row>
    <row r="66" spans="1:26" s="24" customFormat="1" hidden="1" outlineLevel="1" x14ac:dyDescent="0.25">
      <c r="A66" s="51"/>
      <c r="B66" s="11" t="str">
        <f>CONCATENATE("          ", "4304", " - ", "SALES RETURN NON TAXABLE-DIGIT")</f>
        <v xml:space="preserve">          4304 - SALES RETURN NON TAXABLE-DIGIT</v>
      </c>
      <c r="C66" s="11"/>
      <c r="D66" s="2">
        <f>-5500.68</f>
        <v>-5500.68</v>
      </c>
      <c r="E66" s="2"/>
      <c r="F66" s="23"/>
      <c r="G66" s="2"/>
      <c r="H66" s="2"/>
      <c r="I66" s="2"/>
      <c r="J66" s="23"/>
      <c r="K66" s="2"/>
      <c r="L66" s="2">
        <f t="shared" si="0"/>
        <v>-5500.68</v>
      </c>
      <c r="M66" s="2"/>
      <c r="N66" s="23">
        <f t="shared" si="1"/>
        <v>0</v>
      </c>
      <c r="O66" s="11"/>
      <c r="P66" s="2">
        <f>-5952.73</f>
        <v>-5952.73</v>
      </c>
      <c r="Q66" s="2"/>
      <c r="R66" s="23"/>
      <c r="S66" s="2"/>
      <c r="T66" s="2"/>
      <c r="U66" s="2"/>
      <c r="V66" s="23"/>
      <c r="W66" s="2"/>
      <c r="X66" s="2">
        <f t="shared" si="2"/>
        <v>-5952.73</v>
      </c>
      <c r="Y66" s="2"/>
      <c r="Z66" s="23">
        <f t="shared" si="3"/>
        <v>0</v>
      </c>
    </row>
    <row r="67" spans="1:26" s="24" customFormat="1" hidden="1" outlineLevel="1" x14ac:dyDescent="0.25">
      <c r="A67" s="51"/>
      <c r="B67" s="11" t="str">
        <f>CONCATENATE("          ", "4340", " - ", "SALES RETURN NON TAXABLE-LOGO")</f>
        <v xml:space="preserve">          4340 - SALES RETURN NON TAXABLE-LOGO</v>
      </c>
      <c r="C67" s="11"/>
      <c r="D67" s="2">
        <f>-69.9</f>
        <v>-69.900000000000006</v>
      </c>
      <c r="E67" s="2"/>
      <c r="F67" s="23"/>
      <c r="G67" s="2"/>
      <c r="H67" s="2"/>
      <c r="I67" s="2"/>
      <c r="J67" s="23"/>
      <c r="K67" s="2"/>
      <c r="L67" s="2">
        <f t="shared" si="0"/>
        <v>-69.900000000000006</v>
      </c>
      <c r="M67" s="2"/>
      <c r="N67" s="23">
        <f t="shared" si="1"/>
        <v>0</v>
      </c>
      <c r="O67" s="11"/>
      <c r="P67" s="2">
        <f>-504.14</f>
        <v>-504.14</v>
      </c>
      <c r="Q67" s="2"/>
      <c r="R67" s="23"/>
      <c r="S67" s="2"/>
      <c r="T67" s="2"/>
      <c r="U67" s="2"/>
      <c r="V67" s="23"/>
      <c r="W67" s="2"/>
      <c r="X67" s="2">
        <f t="shared" si="2"/>
        <v>-504.14</v>
      </c>
      <c r="Y67" s="2"/>
      <c r="Z67" s="23">
        <f t="shared" si="3"/>
        <v>0</v>
      </c>
    </row>
    <row r="68" spans="1:26" s="24" customFormat="1" hidden="1" outlineLevel="1" x14ac:dyDescent="0.25">
      <c r="A68" s="51"/>
      <c r="B68" s="11" t="str">
        <f>CONCATENATE("          ", "4341", " - ", "SALES RETURN NON TAXABLE-LOGO")</f>
        <v xml:space="preserve">          4341 - SALES RETURN NON TAXABLE-LOGO</v>
      </c>
      <c r="C68" s="11"/>
      <c r="D68" s="2">
        <f>0</f>
        <v>0</v>
      </c>
      <c r="E68" s="2"/>
      <c r="F68" s="23"/>
      <c r="G68" s="2"/>
      <c r="H68" s="2"/>
      <c r="I68" s="2"/>
      <c r="J68" s="23"/>
      <c r="K68" s="2"/>
      <c r="L68" s="2">
        <f t="shared" si="0"/>
        <v>0</v>
      </c>
      <c r="M68" s="2"/>
      <c r="N68" s="23">
        <f t="shared" si="1"/>
        <v>0</v>
      </c>
      <c r="O68" s="11"/>
      <c r="P68" s="2">
        <f>-16.95</f>
        <v>-16.95</v>
      </c>
      <c r="Q68" s="2"/>
      <c r="R68" s="23"/>
      <c r="S68" s="2"/>
      <c r="T68" s="2"/>
      <c r="U68" s="2"/>
      <c r="V68" s="23"/>
      <c r="W68" s="2"/>
      <c r="X68" s="2">
        <f t="shared" si="2"/>
        <v>-16.95</v>
      </c>
      <c r="Y68" s="2"/>
      <c r="Z68" s="23">
        <f t="shared" si="3"/>
        <v>0</v>
      </c>
    </row>
    <row r="69" spans="1:26" s="24" customFormat="1" hidden="1" outlineLevel="1" x14ac:dyDescent="0.25">
      <c r="A69" s="51"/>
      <c r="B69" s="11" t="str">
        <f>CONCATENATE("          ", "4342", " - ", "SALES RETURN NON TAXABLE-EVERY")</f>
        <v xml:space="preserve">          4342 - SALES RETURN NON TAXABLE-EVERY</v>
      </c>
      <c r="C69" s="11"/>
      <c r="D69" s="2">
        <f>-13.9</f>
        <v>-13.9</v>
      </c>
      <c r="E69" s="2"/>
      <c r="F69" s="23"/>
      <c r="G69" s="2"/>
      <c r="H69" s="2"/>
      <c r="I69" s="2"/>
      <c r="J69" s="23"/>
      <c r="K69" s="2"/>
      <c r="L69" s="2">
        <f t="shared" si="0"/>
        <v>-13.9</v>
      </c>
      <c r="M69" s="2"/>
      <c r="N69" s="23">
        <f t="shared" si="1"/>
        <v>0</v>
      </c>
      <c r="O69" s="11"/>
      <c r="P69" s="2">
        <f>-93.75</f>
        <v>-93.75</v>
      </c>
      <c r="Q69" s="2"/>
      <c r="R69" s="23"/>
      <c r="S69" s="2"/>
      <c r="T69" s="2"/>
      <c r="U69" s="2"/>
      <c r="V69" s="23"/>
      <c r="W69" s="2"/>
      <c r="X69" s="2">
        <f t="shared" si="2"/>
        <v>-93.75</v>
      </c>
      <c r="Y69" s="2"/>
      <c r="Z69" s="23">
        <f t="shared" si="3"/>
        <v>0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2" customFormat="1" collapsed="1" x14ac:dyDescent="0.25">
      <c r="A71" s="10"/>
      <c r="B71" s="25" t="s">
        <v>8</v>
      </c>
      <c r="C71" s="10"/>
      <c r="D71" s="4">
        <f>SUM(OSRRefD16x_0)</f>
        <v>1081423.06</v>
      </c>
      <c r="E71" s="4"/>
      <c r="F71" s="12">
        <f t="shared" ref="F71:F93" si="5">IF(D$12=0,0,D71/D$12)</f>
        <v>0.67712130351950106</v>
      </c>
      <c r="G71" s="4"/>
      <c r="H71" s="4">
        <f>SUM(OSRRefH16x_0)</f>
        <v>1295539</v>
      </c>
      <c r="I71" s="4"/>
      <c r="J71" s="12">
        <f t="shared" ref="J71:J93" si="6">IF(H$12=0,0,H71/H$12)</f>
        <v>0.64985292848873499</v>
      </c>
      <c r="K71" s="4"/>
      <c r="L71" s="4">
        <f t="shared" ref="L71:L93" si="7">+D71-H71</f>
        <v>-214115.93999999994</v>
      </c>
      <c r="M71" s="4"/>
      <c r="N71" s="12">
        <f t="shared" ref="N71:N93" si="8">IF(H71=0,0,L71/H71)</f>
        <v>-0.1652717054446064</v>
      </c>
      <c r="O71" s="10"/>
      <c r="P71" s="4">
        <f>SUM(OSRRefP16x_0)</f>
        <v>1222818.3300000003</v>
      </c>
      <c r="Q71" s="4"/>
      <c r="R71" s="12">
        <f t="shared" ref="R71:R93" si="9">IF(P$12=0,0,P71/P$12)</f>
        <v>0.67012690395555063</v>
      </c>
      <c r="S71" s="4"/>
      <c r="T71" s="4">
        <f>SUM(OSRRefT16x_0)</f>
        <v>1450635</v>
      </c>
      <c r="U71" s="4"/>
      <c r="V71" s="12">
        <f t="shared" ref="V71:V93" si="10">IF(T$12=0,0,T71/T$12)</f>
        <v>0.6319255403538715</v>
      </c>
      <c r="W71" s="4"/>
      <c r="X71" s="4">
        <f t="shared" ref="X71:X93" si="11">+P71-T71</f>
        <v>-227816.66999999969</v>
      </c>
      <c r="Y71" s="4"/>
      <c r="Z71" s="12">
        <f t="shared" ref="Z71:Z93" si="12">IF(T71=0,0,X71/T71)</f>
        <v>-0.15704616943614327</v>
      </c>
    </row>
    <row r="72" spans="1:26" s="24" customFormat="1" hidden="1" outlineLevel="1" x14ac:dyDescent="0.25">
      <c r="A72" s="51"/>
      <c r="B72" s="11" t="str">
        <f>CONCATENATE("          ", "5000", " - ", "PURCHASES @ COST")</f>
        <v xml:space="preserve">          5000 - PURCHASES @ COST</v>
      </c>
      <c r="C72" s="11"/>
      <c r="D72" s="2"/>
      <c r="E72" s="2"/>
      <c r="F72" s="23">
        <f t="shared" si="5"/>
        <v>0</v>
      </c>
      <c r="G72" s="2"/>
      <c r="H72" s="2">
        <v>1295539</v>
      </c>
      <c r="I72" s="2"/>
      <c r="J72" s="23">
        <f t="shared" si="6"/>
        <v>0.64985292848873499</v>
      </c>
      <c r="K72" s="2"/>
      <c r="L72" s="2">
        <f t="shared" si="7"/>
        <v>-1295539</v>
      </c>
      <c r="M72" s="2"/>
      <c r="N72" s="23">
        <f t="shared" si="8"/>
        <v>-1</v>
      </c>
      <c r="O72" s="11"/>
      <c r="P72" s="2"/>
      <c r="Q72" s="2"/>
      <c r="R72" s="23">
        <f t="shared" si="9"/>
        <v>0</v>
      </c>
      <c r="S72" s="2"/>
      <c r="T72" s="2">
        <v>1450635</v>
      </c>
      <c r="U72" s="2"/>
      <c r="V72" s="23">
        <f t="shared" si="10"/>
        <v>0.6319255403538715</v>
      </c>
      <c r="W72" s="2"/>
      <c r="X72" s="2">
        <f t="shared" si="11"/>
        <v>-1450635</v>
      </c>
      <c r="Y72" s="2"/>
      <c r="Z72" s="23">
        <f t="shared" si="12"/>
        <v>-1</v>
      </c>
    </row>
    <row r="73" spans="1:26" s="24" customFormat="1" hidden="1" outlineLevel="1" x14ac:dyDescent="0.25">
      <c r="A73" s="51"/>
      <c r="B73" s="11" t="str">
        <f>CONCATENATE("          ", "5001", " - ", "PURCHASES @ COST-NEW TEXT")</f>
        <v xml:space="preserve">          5001 - PURCHASES @ COST-NEW TEXT</v>
      </c>
      <c r="C73" s="11"/>
      <c r="D73" s="2">
        <v>538222.14</v>
      </c>
      <c r="E73" s="2"/>
      <c r="F73" s="23">
        <f t="shared" si="5"/>
        <v>0.33700194724889204</v>
      </c>
      <c r="G73" s="2"/>
      <c r="H73" s="2"/>
      <c r="I73" s="2"/>
      <c r="J73" s="23">
        <f t="shared" si="6"/>
        <v>0</v>
      </c>
      <c r="K73" s="2"/>
      <c r="L73" s="2">
        <f t="shared" si="7"/>
        <v>538222.14</v>
      </c>
      <c r="M73" s="2"/>
      <c r="N73" s="23">
        <f t="shared" si="8"/>
        <v>0</v>
      </c>
      <c r="O73" s="11"/>
      <c r="P73" s="2">
        <v>691332.77</v>
      </c>
      <c r="Q73" s="2"/>
      <c r="R73" s="23">
        <f t="shared" si="9"/>
        <v>0.37886305544922166</v>
      </c>
      <c r="S73" s="2"/>
      <c r="T73" s="2"/>
      <c r="U73" s="2"/>
      <c r="V73" s="23">
        <f t="shared" si="10"/>
        <v>0</v>
      </c>
      <c r="W73" s="2"/>
      <c r="X73" s="2">
        <f t="shared" si="11"/>
        <v>691332.77</v>
      </c>
      <c r="Y73" s="2"/>
      <c r="Z73" s="23">
        <f t="shared" si="12"/>
        <v>0</v>
      </c>
    </row>
    <row r="74" spans="1:26" s="24" customFormat="1" hidden="1" outlineLevel="1" x14ac:dyDescent="0.25">
      <c r="A74" s="51"/>
      <c r="B74" s="11" t="str">
        <f>CONCATENATE("          ", "5002", " - ", "PURCHASES @ COST-USED TEXT")</f>
        <v xml:space="preserve">          5002 - PURCHASES @ COST-USED TEXT</v>
      </c>
      <c r="C74" s="11"/>
      <c r="D74" s="2">
        <v>128042.67</v>
      </c>
      <c r="E74" s="2"/>
      <c r="F74" s="23">
        <f t="shared" si="5"/>
        <v>8.0172527129685311E-2</v>
      </c>
      <c r="G74" s="2"/>
      <c r="H74" s="2"/>
      <c r="I74" s="2"/>
      <c r="J74" s="23">
        <f t="shared" si="6"/>
        <v>0</v>
      </c>
      <c r="K74" s="2"/>
      <c r="L74" s="2">
        <f t="shared" si="7"/>
        <v>128042.67</v>
      </c>
      <c r="M74" s="2"/>
      <c r="N74" s="23">
        <f t="shared" si="8"/>
        <v>0</v>
      </c>
      <c r="O74" s="11"/>
      <c r="P74" s="2">
        <v>188367.52</v>
      </c>
      <c r="Q74" s="2"/>
      <c r="R74" s="23">
        <f t="shared" si="9"/>
        <v>0.10322886064636046</v>
      </c>
      <c r="S74" s="2"/>
      <c r="T74" s="2"/>
      <c r="U74" s="2"/>
      <c r="V74" s="23">
        <f t="shared" si="10"/>
        <v>0</v>
      </c>
      <c r="W74" s="2"/>
      <c r="X74" s="2">
        <f t="shared" si="11"/>
        <v>188367.52</v>
      </c>
      <c r="Y74" s="2"/>
      <c r="Z74" s="23">
        <f t="shared" si="12"/>
        <v>0</v>
      </c>
    </row>
    <row r="75" spans="1:26" s="24" customFormat="1" hidden="1" outlineLevel="1" x14ac:dyDescent="0.25">
      <c r="A75" s="51"/>
      <c r="B75" s="11" t="str">
        <f>CONCATENATE("          ", "5003", " - ", "PURCHASES @ COST-RENTAL TEXT")</f>
        <v xml:space="preserve">          5003 - PURCHASES @ COST-RENTAL TEXT</v>
      </c>
      <c r="C75" s="11"/>
      <c r="D75" s="2">
        <v>58.8</v>
      </c>
      <c r="E75" s="2"/>
      <c r="F75" s="23">
        <f t="shared" si="5"/>
        <v>3.6816981364302201E-5</v>
      </c>
      <c r="G75" s="2"/>
      <c r="H75" s="2"/>
      <c r="I75" s="2"/>
      <c r="J75" s="23">
        <f t="shared" si="6"/>
        <v>0</v>
      </c>
      <c r="K75" s="2"/>
      <c r="L75" s="2">
        <f t="shared" si="7"/>
        <v>58.8</v>
      </c>
      <c r="M75" s="2"/>
      <c r="N75" s="23">
        <f t="shared" si="8"/>
        <v>0</v>
      </c>
      <c r="O75" s="11"/>
      <c r="P75" s="2">
        <v>-11867.84</v>
      </c>
      <c r="Q75" s="2"/>
      <c r="R75" s="23">
        <f t="shared" si="9"/>
        <v>-6.5037942928446611E-3</v>
      </c>
      <c r="S75" s="2"/>
      <c r="T75" s="2"/>
      <c r="U75" s="2"/>
      <c r="V75" s="23">
        <f t="shared" si="10"/>
        <v>0</v>
      </c>
      <c r="W75" s="2"/>
      <c r="X75" s="2">
        <f t="shared" si="11"/>
        <v>-11867.84</v>
      </c>
      <c r="Y75" s="2"/>
      <c r="Z75" s="23">
        <f t="shared" si="12"/>
        <v>0</v>
      </c>
    </row>
    <row r="76" spans="1:26" s="24" customFormat="1" hidden="1" outlineLevel="1" x14ac:dyDescent="0.25">
      <c r="A76" s="51"/>
      <c r="B76" s="11" t="str">
        <f>CONCATENATE("          ", "5004", " - ", "PURCHASES @ COST-DIGITAL TEXT")</f>
        <v xml:space="preserve">          5004 - PURCHASES @ COST-DIGITAL TEXT</v>
      </c>
      <c r="C76" s="11"/>
      <c r="D76" s="2">
        <v>117504.49</v>
      </c>
      <c r="E76" s="2"/>
      <c r="F76" s="23">
        <f t="shared" si="5"/>
        <v>7.3574160179452966E-2</v>
      </c>
      <c r="G76" s="2"/>
      <c r="H76" s="2"/>
      <c r="I76" s="2"/>
      <c r="J76" s="23">
        <f t="shared" si="6"/>
        <v>0</v>
      </c>
      <c r="K76" s="2"/>
      <c r="L76" s="2">
        <f t="shared" si="7"/>
        <v>117504.49</v>
      </c>
      <c r="M76" s="2"/>
      <c r="N76" s="23">
        <f t="shared" si="8"/>
        <v>0</v>
      </c>
      <c r="O76" s="11"/>
      <c r="P76" s="2">
        <v>122429.97</v>
      </c>
      <c r="Q76" s="2"/>
      <c r="R76" s="23">
        <f t="shared" si="9"/>
        <v>6.7093872192340226E-2</v>
      </c>
      <c r="S76" s="2"/>
      <c r="T76" s="2"/>
      <c r="U76" s="2"/>
      <c r="V76" s="23">
        <f t="shared" si="10"/>
        <v>0</v>
      </c>
      <c r="W76" s="2"/>
      <c r="X76" s="2">
        <f t="shared" si="11"/>
        <v>122429.97</v>
      </c>
      <c r="Y76" s="2"/>
      <c r="Z76" s="23">
        <f t="shared" si="12"/>
        <v>0</v>
      </c>
    </row>
    <row r="77" spans="1:26" s="24" customFormat="1" hidden="1" outlineLevel="1" x14ac:dyDescent="0.25">
      <c r="A77" s="51"/>
      <c r="B77" s="11" t="str">
        <f>CONCATENATE("          ", "5013", " - ", "PURCHASES @ COST-TRADE BOOKS")</f>
        <v xml:space="preserve">          5013 - PURCHASES @ COST-TRADE BOOKS</v>
      </c>
      <c r="C77" s="11"/>
      <c r="D77" s="2"/>
      <c r="E77" s="2"/>
      <c r="F77" s="23">
        <f t="shared" si="5"/>
        <v>0</v>
      </c>
      <c r="G77" s="2"/>
      <c r="H77" s="2"/>
      <c r="I77" s="2"/>
      <c r="J77" s="23">
        <f t="shared" si="6"/>
        <v>0</v>
      </c>
      <c r="K77" s="2"/>
      <c r="L77" s="2">
        <f t="shared" si="7"/>
        <v>0</v>
      </c>
      <c r="M77" s="2"/>
      <c r="N77" s="23">
        <f t="shared" si="8"/>
        <v>0</v>
      </c>
      <c r="O77" s="11"/>
      <c r="P77" s="2">
        <v>108.54</v>
      </c>
      <c r="Q77" s="2"/>
      <c r="R77" s="23">
        <f t="shared" si="9"/>
        <v>5.9481913519676668E-5</v>
      </c>
      <c r="S77" s="2"/>
      <c r="T77" s="2"/>
      <c r="U77" s="2"/>
      <c r="V77" s="23">
        <f t="shared" si="10"/>
        <v>0</v>
      </c>
      <c r="W77" s="2"/>
      <c r="X77" s="2">
        <f t="shared" si="11"/>
        <v>108.54</v>
      </c>
      <c r="Y77" s="2"/>
      <c r="Z77" s="23">
        <f t="shared" si="12"/>
        <v>0</v>
      </c>
    </row>
    <row r="78" spans="1:26" s="24" customFormat="1" hidden="1" outlineLevel="1" x14ac:dyDescent="0.25">
      <c r="A78" s="51"/>
      <c r="B78" s="11" t="str">
        <f>CONCATENATE("          ", "5014", " - ", "PURCHASES @ COST-REMAINDERS")</f>
        <v xml:space="preserve">          5014 - PURCHASES @ COST-REMAINDERS</v>
      </c>
      <c r="C78" s="11"/>
      <c r="D78" s="2"/>
      <c r="E78" s="2"/>
      <c r="F78" s="23">
        <f t="shared" si="5"/>
        <v>0</v>
      </c>
      <c r="G78" s="2"/>
      <c r="H78" s="2"/>
      <c r="I78" s="2"/>
      <c r="J78" s="23">
        <f t="shared" si="6"/>
        <v>0</v>
      </c>
      <c r="K78" s="2"/>
      <c r="L78" s="2">
        <f t="shared" si="7"/>
        <v>0</v>
      </c>
      <c r="M78" s="2"/>
      <c r="N78" s="23">
        <f t="shared" si="8"/>
        <v>0</v>
      </c>
      <c r="O78" s="11"/>
      <c r="P78" s="2">
        <v>-12.51</v>
      </c>
      <c r="Q78" s="2"/>
      <c r="R78" s="23">
        <f t="shared" si="9"/>
        <v>-6.855709767193247E-6</v>
      </c>
      <c r="S78" s="2"/>
      <c r="T78" s="2"/>
      <c r="U78" s="2"/>
      <c r="V78" s="23">
        <f t="shared" si="10"/>
        <v>0</v>
      </c>
      <c r="W78" s="2"/>
      <c r="X78" s="2">
        <f t="shared" si="11"/>
        <v>-12.51</v>
      </c>
      <c r="Y78" s="2"/>
      <c r="Z78" s="23">
        <f t="shared" si="12"/>
        <v>0</v>
      </c>
    </row>
    <row r="79" spans="1:26" s="24" customFormat="1" hidden="1" outlineLevel="1" x14ac:dyDescent="0.25">
      <c r="A79" s="51"/>
      <c r="B79" s="11" t="str">
        <f>CONCATENATE("          ", "5027", " - ", "PURCHASES @ COST-SCHOOL SUPPLI")</f>
        <v xml:space="preserve">          5027 - PURCHASES @ COST-SCHOOL SUPPLI</v>
      </c>
      <c r="C79" s="11"/>
      <c r="D79" s="2"/>
      <c r="E79" s="2"/>
      <c r="F79" s="23">
        <f t="shared" si="5"/>
        <v>0</v>
      </c>
      <c r="G79" s="2"/>
      <c r="H79" s="2"/>
      <c r="I79" s="2"/>
      <c r="J79" s="23">
        <f t="shared" si="6"/>
        <v>0</v>
      </c>
      <c r="K79" s="2"/>
      <c r="L79" s="2">
        <f t="shared" si="7"/>
        <v>0</v>
      </c>
      <c r="M79" s="2"/>
      <c r="N79" s="23">
        <f t="shared" si="8"/>
        <v>0</v>
      </c>
      <c r="O79" s="11"/>
      <c r="P79" s="2">
        <v>8503.4</v>
      </c>
      <c r="Q79" s="2"/>
      <c r="R79" s="23">
        <f t="shared" si="9"/>
        <v>4.6600193792446891E-3</v>
      </c>
      <c r="S79" s="2"/>
      <c r="T79" s="2"/>
      <c r="U79" s="2"/>
      <c r="V79" s="23">
        <f t="shared" si="10"/>
        <v>0</v>
      </c>
      <c r="W79" s="2"/>
      <c r="X79" s="2">
        <f t="shared" si="11"/>
        <v>8503.4</v>
      </c>
      <c r="Y79" s="2"/>
      <c r="Z79" s="23">
        <f t="shared" si="12"/>
        <v>0</v>
      </c>
    </row>
    <row r="80" spans="1:26" s="24" customFormat="1" hidden="1" outlineLevel="1" x14ac:dyDescent="0.25">
      <c r="A80" s="51"/>
      <c r="B80" s="11" t="str">
        <f>CONCATENATE("          ", "5040", " - ", "PURCHASES @ COST-LOGO CLOTHING")</f>
        <v xml:space="preserve">          5040 - PURCHASES @ COST-LOGO CLOTHING</v>
      </c>
      <c r="C80" s="11"/>
      <c r="D80" s="2">
        <v>7628.83</v>
      </c>
      <c r="E80" s="2"/>
      <c r="F80" s="23">
        <f t="shared" si="5"/>
        <v>4.7767090466229517E-3</v>
      </c>
      <c r="G80" s="2"/>
      <c r="H80" s="2"/>
      <c r="I80" s="2"/>
      <c r="J80" s="23">
        <f t="shared" si="6"/>
        <v>0</v>
      </c>
      <c r="K80" s="2"/>
      <c r="L80" s="2">
        <f t="shared" si="7"/>
        <v>7628.83</v>
      </c>
      <c r="M80" s="2"/>
      <c r="N80" s="23">
        <f t="shared" si="8"/>
        <v>0</v>
      </c>
      <c r="O80" s="11"/>
      <c r="P80" s="2">
        <v>9351.9</v>
      </c>
      <c r="Q80" s="2"/>
      <c r="R80" s="23">
        <f t="shared" si="9"/>
        <v>5.1250129633744626E-3</v>
      </c>
      <c r="S80" s="2"/>
      <c r="T80" s="2"/>
      <c r="U80" s="2"/>
      <c r="V80" s="23">
        <f t="shared" si="10"/>
        <v>0</v>
      </c>
      <c r="W80" s="2"/>
      <c r="X80" s="2">
        <f t="shared" si="11"/>
        <v>9351.9</v>
      </c>
      <c r="Y80" s="2"/>
      <c r="Z80" s="23">
        <f t="shared" si="12"/>
        <v>0</v>
      </c>
    </row>
    <row r="81" spans="1:26" s="24" customFormat="1" hidden="1" outlineLevel="1" x14ac:dyDescent="0.25">
      <c r="A81" s="51"/>
      <c r="B81" s="11" t="str">
        <f>CONCATENATE("          ", "5041", " - ", "PURCHASES @ COST-LOGO GIFTS")</f>
        <v xml:space="preserve">          5041 - PURCHASES @ COST-LOGO GIFTS</v>
      </c>
      <c r="C81" s="11"/>
      <c r="D81" s="2">
        <v>1843.29</v>
      </c>
      <c r="E81" s="2"/>
      <c r="F81" s="23">
        <f t="shared" si="5"/>
        <v>1.1541560132483776E-3</v>
      </c>
      <c r="G81" s="2"/>
      <c r="H81" s="2"/>
      <c r="I81" s="2"/>
      <c r="J81" s="23">
        <f t="shared" si="6"/>
        <v>0</v>
      </c>
      <c r="K81" s="2"/>
      <c r="L81" s="2">
        <f t="shared" si="7"/>
        <v>1843.29</v>
      </c>
      <c r="M81" s="2"/>
      <c r="N81" s="23">
        <f t="shared" si="8"/>
        <v>0</v>
      </c>
      <c r="O81" s="11"/>
      <c r="P81" s="2">
        <v>1129.54</v>
      </c>
      <c r="Q81" s="2"/>
      <c r="R81" s="23">
        <f t="shared" si="9"/>
        <v>6.1900866590211513E-4</v>
      </c>
      <c r="S81" s="2"/>
      <c r="T81" s="2"/>
      <c r="U81" s="2"/>
      <c r="V81" s="23">
        <f t="shared" si="10"/>
        <v>0</v>
      </c>
      <c r="W81" s="2"/>
      <c r="X81" s="2">
        <f t="shared" si="11"/>
        <v>1129.54</v>
      </c>
      <c r="Y81" s="2"/>
      <c r="Z81" s="23">
        <f t="shared" si="12"/>
        <v>0</v>
      </c>
    </row>
    <row r="82" spans="1:26" s="24" customFormat="1" hidden="1" outlineLevel="1" x14ac:dyDescent="0.25">
      <c r="A82" s="51"/>
      <c r="B82" s="11" t="str">
        <f>CONCATENATE("          ", "5042", " - ", "PURCHASES @ COST-EVERYDAY GIFT")</f>
        <v xml:space="preserve">          5042 - PURCHASES @ COST-EVERYDAY GIFT</v>
      </c>
      <c r="C82" s="11"/>
      <c r="D82" s="2">
        <v>732.99</v>
      </c>
      <c r="E82" s="2"/>
      <c r="F82" s="23">
        <f t="shared" si="5"/>
        <v>4.5895372738469166E-4</v>
      </c>
      <c r="G82" s="2"/>
      <c r="H82" s="2"/>
      <c r="I82" s="2"/>
      <c r="J82" s="23">
        <f t="shared" si="6"/>
        <v>0</v>
      </c>
      <c r="K82" s="2"/>
      <c r="L82" s="2">
        <f t="shared" si="7"/>
        <v>732.99</v>
      </c>
      <c r="M82" s="2"/>
      <c r="N82" s="23">
        <f t="shared" si="8"/>
        <v>0</v>
      </c>
      <c r="O82" s="11"/>
      <c r="P82" s="2">
        <v>969.15</v>
      </c>
      <c r="Q82" s="2"/>
      <c r="R82" s="23">
        <f t="shared" si="9"/>
        <v>5.3111200006997086E-4</v>
      </c>
      <c r="S82" s="2"/>
      <c r="T82" s="2"/>
      <c r="U82" s="2"/>
      <c r="V82" s="23">
        <f t="shared" si="10"/>
        <v>0</v>
      </c>
      <c r="W82" s="2"/>
      <c r="X82" s="2">
        <f t="shared" si="11"/>
        <v>969.15</v>
      </c>
      <c r="Y82" s="2"/>
      <c r="Z82" s="23">
        <f t="shared" si="12"/>
        <v>0</v>
      </c>
    </row>
    <row r="83" spans="1:26" s="24" customFormat="1" hidden="1" outlineLevel="1" x14ac:dyDescent="0.25">
      <c r="A83" s="51"/>
      <c r="B83" s="11" t="str">
        <f>CONCATENATE("          ", "5043", " - ", "PURCHASES @ COST-CARDS")</f>
        <v xml:space="preserve">          5043 - PURCHASES @ COST-CARDS</v>
      </c>
      <c r="C83" s="11"/>
      <c r="D83" s="2">
        <v>1406.55</v>
      </c>
      <c r="E83" s="2"/>
      <c r="F83" s="23">
        <f t="shared" si="5"/>
        <v>8.8069600574760642E-4</v>
      </c>
      <c r="G83" s="2"/>
      <c r="H83" s="2"/>
      <c r="I83" s="2"/>
      <c r="J83" s="23">
        <f t="shared" si="6"/>
        <v>0</v>
      </c>
      <c r="K83" s="2"/>
      <c r="L83" s="2">
        <f t="shared" si="7"/>
        <v>1406.55</v>
      </c>
      <c r="M83" s="2"/>
      <c r="N83" s="23">
        <f t="shared" si="8"/>
        <v>0</v>
      </c>
      <c r="O83" s="11"/>
      <c r="P83" s="2">
        <v>1715.25</v>
      </c>
      <c r="Q83" s="2"/>
      <c r="R83" s="23">
        <f t="shared" si="9"/>
        <v>9.399885034514962E-4</v>
      </c>
      <c r="S83" s="2"/>
      <c r="T83" s="2"/>
      <c r="U83" s="2"/>
      <c r="V83" s="23">
        <f t="shared" si="10"/>
        <v>0</v>
      </c>
      <c r="W83" s="2"/>
      <c r="X83" s="2">
        <f t="shared" si="11"/>
        <v>1715.25</v>
      </c>
      <c r="Y83" s="2"/>
      <c r="Z83" s="23">
        <f t="shared" si="12"/>
        <v>0</v>
      </c>
    </row>
    <row r="84" spans="1:26" s="24" customFormat="1" hidden="1" outlineLevel="1" x14ac:dyDescent="0.25">
      <c r="A84" s="51"/>
      <c r="B84" s="11" t="str">
        <f>CONCATENATE("          ", "5045", " - ", "PURCHASES @ COST-SPECIAL ORDER")</f>
        <v xml:space="preserve">          5045 - PURCHASES @ COST-SPECIAL ORDER</v>
      </c>
      <c r="C84" s="11"/>
      <c r="D84" s="2">
        <v>5633.96</v>
      </c>
      <c r="E84" s="2"/>
      <c r="F84" s="23">
        <f t="shared" si="5"/>
        <v>3.5276428627078918E-3</v>
      </c>
      <c r="G84" s="2"/>
      <c r="H84" s="2"/>
      <c r="I84" s="2"/>
      <c r="J84" s="23">
        <f t="shared" si="6"/>
        <v>0</v>
      </c>
      <c r="K84" s="2"/>
      <c r="L84" s="2">
        <f t="shared" si="7"/>
        <v>5633.96</v>
      </c>
      <c r="M84" s="2"/>
      <c r="N84" s="23">
        <f t="shared" si="8"/>
        <v>0</v>
      </c>
      <c r="O84" s="11"/>
      <c r="P84" s="2">
        <v>8390.17</v>
      </c>
      <c r="Q84" s="2"/>
      <c r="R84" s="23">
        <f t="shared" si="9"/>
        <v>4.5979672595852731E-3</v>
      </c>
      <c r="S84" s="2"/>
      <c r="T84" s="2"/>
      <c r="U84" s="2"/>
      <c r="V84" s="23">
        <f t="shared" si="10"/>
        <v>0</v>
      </c>
      <c r="W84" s="2"/>
      <c r="X84" s="2">
        <f t="shared" si="11"/>
        <v>8390.17</v>
      </c>
      <c r="Y84" s="2"/>
      <c r="Z84" s="23">
        <f t="shared" si="12"/>
        <v>0</v>
      </c>
    </row>
    <row r="85" spans="1:26" s="24" customFormat="1" hidden="1" outlineLevel="1" x14ac:dyDescent="0.25">
      <c r="A85" s="51"/>
      <c r="B85" s="11" t="str">
        <f>CONCATENATE("          ", "5200", " - ", "PURCHASES OFFSET")</f>
        <v xml:space="preserve">          5200 - PURCHASES OFFSET</v>
      </c>
      <c r="C85" s="11"/>
      <c r="D85" s="2">
        <v>-497237.30000000005</v>
      </c>
      <c r="E85" s="2"/>
      <c r="F85" s="23">
        <f t="shared" si="5"/>
        <v>-0.31133973482544125</v>
      </c>
      <c r="G85" s="2"/>
      <c r="H85" s="2"/>
      <c r="I85" s="2"/>
      <c r="J85" s="23">
        <f t="shared" si="6"/>
        <v>0</v>
      </c>
      <c r="K85" s="2"/>
      <c r="L85" s="2">
        <f t="shared" si="7"/>
        <v>-497237.30000000005</v>
      </c>
      <c r="M85" s="2"/>
      <c r="N85" s="23">
        <f t="shared" si="8"/>
        <v>0</v>
      </c>
      <c r="O85" s="11"/>
      <c r="P85" s="2">
        <v>-713002.58000000007</v>
      </c>
      <c r="Q85" s="2"/>
      <c r="R85" s="23">
        <f t="shared" si="9"/>
        <v>-0.39073850933173343</v>
      </c>
      <c r="S85" s="2"/>
      <c r="T85" s="2"/>
      <c r="U85" s="2"/>
      <c r="V85" s="23">
        <f t="shared" si="10"/>
        <v>0</v>
      </c>
      <c r="W85" s="2"/>
      <c r="X85" s="2">
        <f t="shared" si="11"/>
        <v>-713002.58000000007</v>
      </c>
      <c r="Y85" s="2"/>
      <c r="Z85" s="23">
        <f t="shared" si="12"/>
        <v>0</v>
      </c>
    </row>
    <row r="86" spans="1:26" s="24" customFormat="1" hidden="1" outlineLevel="1" x14ac:dyDescent="0.25">
      <c r="A86" s="51"/>
      <c r="B86" s="11" t="str">
        <f>CONCATENATE("          ", "5300", " - ", "COG$ OFFSET")</f>
        <v xml:space="preserve">          5300 - COG$ OFFSET</v>
      </c>
      <c r="C86" s="11"/>
      <c r="D86" s="2">
        <v>770429</v>
      </c>
      <c r="E86" s="2"/>
      <c r="F86" s="23">
        <f t="shared" si="5"/>
        <v>0.48239575060404727</v>
      </c>
      <c r="G86" s="2"/>
      <c r="H86" s="2"/>
      <c r="I86" s="2"/>
      <c r="J86" s="23">
        <f t="shared" si="6"/>
        <v>0</v>
      </c>
      <c r="K86" s="2"/>
      <c r="L86" s="2">
        <f t="shared" si="7"/>
        <v>770429</v>
      </c>
      <c r="M86" s="2"/>
      <c r="N86" s="23">
        <f t="shared" si="8"/>
        <v>0</v>
      </c>
      <c r="O86" s="11"/>
      <c r="P86" s="2">
        <v>906057</v>
      </c>
      <c r="Q86" s="2"/>
      <c r="R86" s="23">
        <f t="shared" si="9"/>
        <v>0.49653587726089626</v>
      </c>
      <c r="S86" s="2"/>
      <c r="T86" s="2"/>
      <c r="U86" s="2"/>
      <c r="V86" s="23">
        <f t="shared" si="10"/>
        <v>0</v>
      </c>
      <c r="W86" s="2"/>
      <c r="X86" s="2">
        <f t="shared" si="11"/>
        <v>906057</v>
      </c>
      <c r="Y86" s="2"/>
      <c r="Z86" s="23">
        <f t="shared" si="12"/>
        <v>0</v>
      </c>
    </row>
    <row r="87" spans="1:26" s="24" customFormat="1" hidden="1" outlineLevel="1" x14ac:dyDescent="0.25">
      <c r="A87" s="51"/>
      <c r="B87" s="11" t="str">
        <f>CONCATENATE("          ", "5501", " - ", "FREIGHT-IN-NEW TEXT")</f>
        <v xml:space="preserve">          5501 - FREIGHT-IN-NEW TEXT</v>
      </c>
      <c r="C87" s="11"/>
      <c r="D87" s="2">
        <v>4680.5600000000004</v>
      </c>
      <c r="E87" s="2"/>
      <c r="F87" s="23">
        <f t="shared" si="5"/>
        <v>2.9306818077295634E-3</v>
      </c>
      <c r="G87" s="2"/>
      <c r="H87" s="2"/>
      <c r="I87" s="2"/>
      <c r="J87" s="23">
        <f t="shared" si="6"/>
        <v>0</v>
      </c>
      <c r="K87" s="2"/>
      <c r="L87" s="2">
        <f t="shared" si="7"/>
        <v>4680.5600000000004</v>
      </c>
      <c r="M87" s="2"/>
      <c r="N87" s="23">
        <f t="shared" si="8"/>
        <v>0</v>
      </c>
      <c r="O87" s="11"/>
      <c r="P87" s="2">
        <v>5483.28</v>
      </c>
      <c r="Q87" s="2"/>
      <c r="R87" s="23">
        <f t="shared" si="9"/>
        <v>3.0049381496607026E-3</v>
      </c>
      <c r="S87" s="2"/>
      <c r="T87" s="2"/>
      <c r="U87" s="2"/>
      <c r="V87" s="23">
        <f t="shared" si="10"/>
        <v>0</v>
      </c>
      <c r="W87" s="2"/>
      <c r="X87" s="2">
        <f t="shared" si="11"/>
        <v>5483.28</v>
      </c>
      <c r="Y87" s="2"/>
      <c r="Z87" s="23">
        <f t="shared" si="12"/>
        <v>0</v>
      </c>
    </row>
    <row r="88" spans="1:26" s="24" customFormat="1" hidden="1" outlineLevel="1" x14ac:dyDescent="0.25">
      <c r="A88" s="51"/>
      <c r="B88" s="11" t="str">
        <f>CONCATENATE("          ", "5502", " - ", "FREIGHT-IN-USED TEXT")</f>
        <v xml:space="preserve">          5502 - FREIGHT-IN-USED TEXT</v>
      </c>
      <c r="C88" s="11"/>
      <c r="D88" s="2">
        <v>1186.6600000000001</v>
      </c>
      <c r="E88" s="2"/>
      <c r="F88" s="23">
        <f t="shared" si="5"/>
        <v>7.4301427050617091E-4</v>
      </c>
      <c r="G88" s="2"/>
      <c r="H88" s="2"/>
      <c r="I88" s="2"/>
      <c r="J88" s="23">
        <f t="shared" si="6"/>
        <v>0</v>
      </c>
      <c r="K88" s="2"/>
      <c r="L88" s="2">
        <f t="shared" si="7"/>
        <v>1186.6600000000001</v>
      </c>
      <c r="M88" s="2"/>
      <c r="N88" s="23">
        <f t="shared" si="8"/>
        <v>0</v>
      </c>
      <c r="O88" s="11"/>
      <c r="P88" s="2">
        <v>1234.55</v>
      </c>
      <c r="Q88" s="2"/>
      <c r="R88" s="23">
        <f t="shared" si="9"/>
        <v>6.7655607458740399E-4</v>
      </c>
      <c r="S88" s="2"/>
      <c r="T88" s="2"/>
      <c r="U88" s="2"/>
      <c r="V88" s="23">
        <f t="shared" si="10"/>
        <v>0</v>
      </c>
      <c r="W88" s="2"/>
      <c r="X88" s="2">
        <f t="shared" si="11"/>
        <v>1234.55</v>
      </c>
      <c r="Y88" s="2"/>
      <c r="Z88" s="23">
        <f t="shared" si="12"/>
        <v>0</v>
      </c>
    </row>
    <row r="89" spans="1:26" s="24" customFormat="1" hidden="1" outlineLevel="1" x14ac:dyDescent="0.25">
      <c r="A89" s="51"/>
      <c r="B89" s="11" t="str">
        <f>CONCATENATE("          ", "5528", " - ", "FREIGHT-IN-ART/TECH")</f>
        <v xml:space="preserve">          5528 - FREIGHT-IN-ART/TECH</v>
      </c>
      <c r="C89" s="11"/>
      <c r="D89" s="2"/>
      <c r="E89" s="2"/>
      <c r="F89" s="23">
        <f t="shared" si="5"/>
        <v>0</v>
      </c>
      <c r="G89" s="2"/>
      <c r="H89" s="2"/>
      <c r="I89" s="2"/>
      <c r="J89" s="23">
        <f t="shared" si="6"/>
        <v>0</v>
      </c>
      <c r="K89" s="2"/>
      <c r="L89" s="2">
        <f t="shared" si="7"/>
        <v>0</v>
      </c>
      <c r="M89" s="2"/>
      <c r="N89" s="23">
        <f t="shared" si="8"/>
        <v>0</v>
      </c>
      <c r="O89" s="11"/>
      <c r="P89" s="2">
        <v>38.049999999999997</v>
      </c>
      <c r="Q89" s="2"/>
      <c r="R89" s="23">
        <f t="shared" si="9"/>
        <v>2.0852098852254439E-5</v>
      </c>
      <c r="S89" s="2"/>
      <c r="T89" s="2"/>
      <c r="U89" s="2"/>
      <c r="V89" s="23">
        <f t="shared" si="10"/>
        <v>0</v>
      </c>
      <c r="W89" s="2"/>
      <c r="X89" s="2">
        <f t="shared" si="11"/>
        <v>38.049999999999997</v>
      </c>
      <c r="Y89" s="2"/>
      <c r="Z89" s="23">
        <f t="shared" si="12"/>
        <v>0</v>
      </c>
    </row>
    <row r="90" spans="1:26" s="24" customFormat="1" hidden="1" outlineLevel="1" x14ac:dyDescent="0.25">
      <c r="A90" s="51"/>
      <c r="B90" s="11" t="str">
        <f>CONCATENATE("          ", "5540", " - ", "FREIGHT-IN-LOGO CLOTHING")</f>
        <v xml:space="preserve">          5540 - FREIGHT-IN-LOGO CLOTHING</v>
      </c>
      <c r="C90" s="11"/>
      <c r="D90" s="2">
        <v>1021.7</v>
      </c>
      <c r="E90" s="2"/>
      <c r="F90" s="23">
        <f t="shared" si="5"/>
        <v>6.397263581616932E-4</v>
      </c>
      <c r="G90" s="2"/>
      <c r="H90" s="2"/>
      <c r="I90" s="2"/>
      <c r="J90" s="23">
        <f t="shared" si="6"/>
        <v>0</v>
      </c>
      <c r="K90" s="2"/>
      <c r="L90" s="2">
        <f t="shared" si="7"/>
        <v>1021.7</v>
      </c>
      <c r="M90" s="2"/>
      <c r="N90" s="23">
        <f t="shared" si="8"/>
        <v>0</v>
      </c>
      <c r="O90" s="11"/>
      <c r="P90" s="2">
        <v>1931.53</v>
      </c>
      <c r="Q90" s="2"/>
      <c r="R90" s="23">
        <f t="shared" si="9"/>
        <v>1.0585139157975039E-3</v>
      </c>
      <c r="S90" s="2"/>
      <c r="T90" s="2"/>
      <c r="U90" s="2"/>
      <c r="V90" s="23">
        <f t="shared" si="10"/>
        <v>0</v>
      </c>
      <c r="W90" s="2"/>
      <c r="X90" s="2">
        <f t="shared" si="11"/>
        <v>1931.53</v>
      </c>
      <c r="Y90" s="2"/>
      <c r="Z90" s="23">
        <f t="shared" si="12"/>
        <v>0</v>
      </c>
    </row>
    <row r="91" spans="1:26" s="24" customFormat="1" hidden="1" outlineLevel="1" x14ac:dyDescent="0.25">
      <c r="A91" s="51"/>
      <c r="B91" s="11" t="str">
        <f>CONCATENATE("          ", "5541", " - ", "FREIGHT-IN-LOGO GIFTS")</f>
        <v xml:space="preserve">          5541 - FREIGHT-IN-LOGO GIFTS</v>
      </c>
      <c r="C91" s="11"/>
      <c r="D91" s="2">
        <v>123.12</v>
      </c>
      <c r="E91" s="2"/>
      <c r="F91" s="23">
        <f t="shared" si="5"/>
        <v>7.7090250775049105E-5</v>
      </c>
      <c r="G91" s="2"/>
      <c r="H91" s="2"/>
      <c r="I91" s="2"/>
      <c r="J91" s="23">
        <f t="shared" si="6"/>
        <v>0</v>
      </c>
      <c r="K91" s="2"/>
      <c r="L91" s="2">
        <f t="shared" si="7"/>
        <v>123.12</v>
      </c>
      <c r="M91" s="2"/>
      <c r="N91" s="23">
        <f t="shared" si="8"/>
        <v>0</v>
      </c>
      <c r="O91" s="11"/>
      <c r="P91" s="2">
        <v>206.7</v>
      </c>
      <c r="Q91" s="2"/>
      <c r="R91" s="23">
        <f t="shared" si="9"/>
        <v>1.1327539639319298E-4</v>
      </c>
      <c r="S91" s="2"/>
      <c r="T91" s="2"/>
      <c r="U91" s="2"/>
      <c r="V91" s="23">
        <f t="shared" si="10"/>
        <v>0</v>
      </c>
      <c r="W91" s="2"/>
      <c r="X91" s="2">
        <f t="shared" si="11"/>
        <v>206.7</v>
      </c>
      <c r="Y91" s="2"/>
      <c r="Z91" s="23">
        <f t="shared" si="12"/>
        <v>0</v>
      </c>
    </row>
    <row r="92" spans="1:26" s="24" customFormat="1" hidden="1" outlineLevel="1" x14ac:dyDescent="0.25">
      <c r="A92" s="51"/>
      <c r="B92" s="11" t="str">
        <f>CONCATENATE("          ", "5542", " - ", "FREIGHT-IN-EVERYDAY GIFTS")</f>
        <v xml:space="preserve">          5542 - FREIGHT-IN-EVERYDAY GIFTS</v>
      </c>
      <c r="C92" s="11"/>
      <c r="D92" s="2"/>
      <c r="E92" s="2"/>
      <c r="F92" s="23">
        <f t="shared" si="5"/>
        <v>0</v>
      </c>
      <c r="G92" s="2"/>
      <c r="H92" s="2"/>
      <c r="I92" s="2"/>
      <c r="J92" s="23">
        <f t="shared" si="6"/>
        <v>0</v>
      </c>
      <c r="K92" s="2"/>
      <c r="L92" s="2">
        <f t="shared" si="7"/>
        <v>0</v>
      </c>
      <c r="M92" s="2"/>
      <c r="N92" s="23">
        <f t="shared" si="8"/>
        <v>0</v>
      </c>
      <c r="O92" s="11"/>
      <c r="P92" s="2">
        <v>5.94</v>
      </c>
      <c r="Q92" s="2"/>
      <c r="R92" s="23">
        <f t="shared" si="9"/>
        <v>3.2552290980917579E-6</v>
      </c>
      <c r="S92" s="2"/>
      <c r="T92" s="2"/>
      <c r="U92" s="2"/>
      <c r="V92" s="23">
        <f t="shared" si="10"/>
        <v>0</v>
      </c>
      <c r="W92" s="2"/>
      <c r="X92" s="2">
        <f t="shared" si="11"/>
        <v>5.94</v>
      </c>
      <c r="Y92" s="2"/>
      <c r="Z92" s="23">
        <f t="shared" si="12"/>
        <v>0</v>
      </c>
    </row>
    <row r="93" spans="1:26" s="24" customFormat="1" hidden="1" outlineLevel="1" x14ac:dyDescent="0.25">
      <c r="A93" s="51"/>
      <c r="B93" s="11" t="str">
        <f>CONCATENATE("          ", "5545", " - ", "FREIGHT-IN-SPECIAL ORDERS")</f>
        <v xml:space="preserve">          5545 - FREIGHT-IN-SPECIAL ORDERS</v>
      </c>
      <c r="C93" s="11"/>
      <c r="D93" s="2">
        <v>145.6</v>
      </c>
      <c r="E93" s="2"/>
      <c r="F93" s="23">
        <f t="shared" si="5"/>
        <v>9.1165858616367349E-5</v>
      </c>
      <c r="G93" s="2"/>
      <c r="H93" s="2"/>
      <c r="I93" s="2"/>
      <c r="J93" s="23">
        <f t="shared" si="6"/>
        <v>0</v>
      </c>
      <c r="K93" s="2"/>
      <c r="L93" s="2">
        <f t="shared" si="7"/>
        <v>145.6</v>
      </c>
      <c r="M93" s="2"/>
      <c r="N93" s="23">
        <f t="shared" si="8"/>
        <v>0</v>
      </c>
      <c r="O93" s="11"/>
      <c r="P93" s="2">
        <v>446</v>
      </c>
      <c r="Q93" s="2"/>
      <c r="R93" s="23">
        <f t="shared" si="9"/>
        <v>2.4441619154022288E-4</v>
      </c>
      <c r="S93" s="2"/>
      <c r="T93" s="2"/>
      <c r="U93" s="2"/>
      <c r="V93" s="23">
        <f t="shared" si="10"/>
        <v>0</v>
      </c>
      <c r="W93" s="2"/>
      <c r="X93" s="2">
        <f t="shared" si="11"/>
        <v>446</v>
      </c>
      <c r="Y93" s="2"/>
      <c r="Z93" s="23">
        <f t="shared" si="12"/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2" customFormat="1" x14ac:dyDescent="0.25">
      <c r="A95" s="10"/>
      <c r="B95" s="26" t="s">
        <v>6</v>
      </c>
      <c r="C95" s="26"/>
      <c r="D95" s="21">
        <f>D12-D71</f>
        <v>515666.05000000028</v>
      </c>
      <c r="E95" s="13"/>
      <c r="F95" s="20">
        <f>IF(D$12=0,0,D95/D$12)</f>
        <v>0.32287869648049894</v>
      </c>
      <c r="G95" s="13"/>
      <c r="H95" s="21">
        <f>H12-H71</f>
        <v>698048.99999999977</v>
      </c>
      <c r="I95" s="13"/>
      <c r="J95" s="20">
        <f>IF(H$12=0,0,H95/H$12)</f>
        <v>0.35014707151126506</v>
      </c>
      <c r="K95" s="16"/>
      <c r="L95" s="21">
        <f>+D95-H95</f>
        <v>-182382.94999999949</v>
      </c>
      <c r="M95" s="16"/>
      <c r="N95" s="20">
        <f>IF(H95=0,0,L95/H95)</f>
        <v>-0.2612752829672409</v>
      </c>
      <c r="O95" s="25"/>
      <c r="P95" s="21">
        <f>P12-P71</f>
        <v>601938.03</v>
      </c>
      <c r="Q95" s="13"/>
      <c r="R95" s="20">
        <f>IF(P$12=0,0,P95/P$12)</f>
        <v>0.32987309604444942</v>
      </c>
      <c r="S95" s="13"/>
      <c r="T95" s="21">
        <f>T12-T71</f>
        <v>844944</v>
      </c>
      <c r="U95" s="13"/>
      <c r="V95" s="20">
        <f>IF(T$12=0,0,T95/T$12)</f>
        <v>0.3680744596461285</v>
      </c>
      <c r="W95" s="16"/>
      <c r="X95" s="21">
        <f>+P95-T95</f>
        <v>-243005.96999999997</v>
      </c>
      <c r="Y95" s="16"/>
      <c r="Z95" s="20">
        <f>IF(T95=0,0,X95/T95)</f>
        <v>-0.28760008947338517</v>
      </c>
    </row>
    <row r="96" spans="1:26" x14ac:dyDescent="0.25">
      <c r="A96" s="9"/>
      <c r="B96" s="10"/>
      <c r="C96" s="9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2" customFormat="1" x14ac:dyDescent="0.25">
      <c r="A97" s="10"/>
      <c r="B97" s="25" t="s">
        <v>9</v>
      </c>
      <c r="C97" s="10"/>
      <c r="D97" s="19">
        <f>SUM(OSRRefD22x_0)</f>
        <v>223887.90000000005</v>
      </c>
      <c r="E97" s="19"/>
      <c r="F97" s="30">
        <f t="shared" ref="F97:F108" si="13">IF(D$12=0,0,D97/D$12)</f>
        <v>0.14018497690463871</v>
      </c>
      <c r="G97" s="19"/>
      <c r="H97" s="19">
        <f>SUM(OSRRefH22x_0)</f>
        <v>445676.09797611542</v>
      </c>
      <c r="I97" s="19"/>
      <c r="J97" s="30">
        <f t="shared" ref="J97:J108" si="14">IF(H$12=0,0,H97/H$12)</f>
        <v>0.22355476556646381</v>
      </c>
      <c r="K97" s="4"/>
      <c r="L97" s="19">
        <f t="shared" ref="L97:L108" si="15">+D97-H97</f>
        <v>-221788.19797611536</v>
      </c>
      <c r="M97" s="4"/>
      <c r="N97" s="30">
        <f t="shared" ref="N97:N108" si="16">IF(H97=0,0,L97/H97)</f>
        <v>-0.49764436321196071</v>
      </c>
      <c r="O97" s="10"/>
      <c r="P97" s="19">
        <f>SUM(OSRRefP22x_0)</f>
        <v>542488.70000000007</v>
      </c>
      <c r="Q97" s="19"/>
      <c r="R97" s="30">
        <f t="shared" ref="R97:R108" si="17">IF(P$12=0,0,P97/P$12)</f>
        <v>0.29729377131750345</v>
      </c>
      <c r="S97" s="19"/>
      <c r="T97" s="19">
        <f>SUM(OSRRefT22x_0)</f>
        <v>832801.65371125971</v>
      </c>
      <c r="U97" s="19"/>
      <c r="V97" s="30">
        <f t="shared" ref="V97:V108" si="18">IF(T$12=0,0,T97/T$12)</f>
        <v>0.36278501141161323</v>
      </c>
      <c r="W97" s="4"/>
      <c r="X97" s="19">
        <f t="shared" ref="X97:X108" si="19">+P97-T97</f>
        <v>-290312.95371125964</v>
      </c>
      <c r="Y97" s="4"/>
      <c r="Z97" s="30">
        <f t="shared" ref="Z97:Z108" si="20">IF(T97=0,0,X97/T97)</f>
        <v>-0.34859795536851074</v>
      </c>
    </row>
    <row r="98" spans="1:26" s="29" customFormat="1" outlineLevel="1" collapsed="1" x14ac:dyDescent="0.25">
      <c r="A98" s="28"/>
      <c r="B98" s="14" t="str">
        <f>CONCATENATE("     ","*Benefits                                         ")</f>
        <v xml:space="preserve">     *Benefits                                         </v>
      </c>
      <c r="C98" s="14"/>
      <c r="D98" s="1">
        <f>SUM(OSRRefD22_0x_0)</f>
        <v>45446.26</v>
      </c>
      <c r="E98" s="1"/>
      <c r="F98" s="5">
        <f t="shared" si="13"/>
        <v>2.8455682100293072E-2</v>
      </c>
      <c r="G98" s="1"/>
      <c r="H98" s="1">
        <f>SUM(OSRRefH22_0x_0)</f>
        <v>48766.49019396153</v>
      </c>
      <c r="I98" s="1"/>
      <c r="J98" s="5">
        <f t="shared" si="14"/>
        <v>2.4461669208463099E-2</v>
      </c>
      <c r="K98" s="1"/>
      <c r="L98" s="1">
        <f t="shared" si="15"/>
        <v>-3320.2301939615281</v>
      </c>
      <c r="M98" s="1"/>
      <c r="N98" s="5">
        <f t="shared" si="16"/>
        <v>-6.8084255823123663E-2</v>
      </c>
      <c r="O98" s="14"/>
      <c r="P98" s="1">
        <f>SUM(OSRRefP22_0x_0)</f>
        <v>86112.73000000001</v>
      </c>
      <c r="Q98" s="1"/>
      <c r="R98" s="5">
        <f t="shared" si="17"/>
        <v>4.7191357645137891E-2</v>
      </c>
      <c r="S98" s="1"/>
      <c r="T98" s="1">
        <f>SUM(OSRRefT22_0x_0)</f>
        <v>100513.64870141343</v>
      </c>
      <c r="U98" s="1"/>
      <c r="V98" s="5">
        <f t="shared" si="18"/>
        <v>4.378575021875241E-2</v>
      </c>
      <c r="W98" s="1"/>
      <c r="X98" s="1">
        <f t="shared" si="19"/>
        <v>-14400.918701413422</v>
      </c>
      <c r="Y98" s="1"/>
      <c r="Z98" s="5">
        <f t="shared" si="20"/>
        <v>-0.14327326574516158</v>
      </c>
    </row>
    <row r="99" spans="1:26" s="24" customFormat="1" hidden="1" outlineLevel="2" x14ac:dyDescent="0.25">
      <c r="A99" s="27"/>
      <c r="B99" s="11" t="str">
        <f>CONCATENATE("          ", "6111", " - ", "F.I.C.A.")</f>
        <v xml:space="preserve">          6111 - F.I.C.A.</v>
      </c>
      <c r="C99" s="11"/>
      <c r="D99" s="6">
        <v>10736.45</v>
      </c>
      <c r="E99" s="2"/>
      <c r="F99" s="7">
        <f t="shared" si="13"/>
        <v>6.7225115572918772E-3</v>
      </c>
      <c r="G99" s="2"/>
      <c r="H99" s="6">
        <v>11896.25382842308</v>
      </c>
      <c r="I99" s="2"/>
      <c r="J99" s="7">
        <f t="shared" si="14"/>
        <v>5.9672579431773671E-3</v>
      </c>
      <c r="K99" s="2"/>
      <c r="L99" s="6">
        <f t="shared" si="15"/>
        <v>-1159.8038284230788</v>
      </c>
      <c r="M99" s="2"/>
      <c r="N99" s="7">
        <f t="shared" si="16"/>
        <v>-9.7493197871419149E-2</v>
      </c>
      <c r="O99" s="11"/>
      <c r="P99" s="6">
        <v>18303.390000000003</v>
      </c>
      <c r="Q99" s="2"/>
      <c r="R99" s="7">
        <f t="shared" si="17"/>
        <v>1.0030593892545743E-2</v>
      </c>
      <c r="S99" s="2"/>
      <c r="T99" s="6">
        <v>24659.671515201924</v>
      </c>
      <c r="U99" s="2"/>
      <c r="V99" s="7">
        <f t="shared" si="18"/>
        <v>1.0742244773628755E-2</v>
      </c>
      <c r="W99" s="2"/>
      <c r="X99" s="6">
        <f t="shared" si="19"/>
        <v>-6356.2815152019211</v>
      </c>
      <c r="Y99" s="2"/>
      <c r="Z99" s="7">
        <f t="shared" si="20"/>
        <v>-0.25776018594908978</v>
      </c>
    </row>
    <row r="100" spans="1:26" s="24" customFormat="1" hidden="1" outlineLevel="2" x14ac:dyDescent="0.25">
      <c r="A100" s="27"/>
      <c r="B100" s="11" t="str">
        <f>CONCATENATE("          ", "6112", " - ", "COMPENSATION INSURANCE")</f>
        <v xml:space="preserve">          6112 - COMPENSATION INSURANCE</v>
      </c>
      <c r="C100" s="11"/>
      <c r="D100" s="6">
        <v>2365.1</v>
      </c>
      <c r="E100" s="2"/>
      <c r="F100" s="7">
        <f t="shared" si="13"/>
        <v>1.4808816772910057E-3</v>
      </c>
      <c r="G100" s="2"/>
      <c r="H100" s="6">
        <v>3770.1837630769178</v>
      </c>
      <c r="I100" s="2"/>
      <c r="J100" s="7">
        <f t="shared" si="14"/>
        <v>1.8911549242255261E-3</v>
      </c>
      <c r="K100" s="2"/>
      <c r="L100" s="6">
        <f t="shared" si="15"/>
        <v>-1405.0837630769179</v>
      </c>
      <c r="M100" s="2"/>
      <c r="N100" s="7">
        <f t="shared" si="16"/>
        <v>-0.37268309752896572</v>
      </c>
      <c r="O100" s="11"/>
      <c r="P100" s="6">
        <v>4144.13</v>
      </c>
      <c r="Q100" s="2"/>
      <c r="R100" s="7">
        <f t="shared" si="17"/>
        <v>2.2710593539183497E-3</v>
      </c>
      <c r="S100" s="2"/>
      <c r="T100" s="6">
        <v>7016.4140731730722</v>
      </c>
      <c r="U100" s="2"/>
      <c r="V100" s="7">
        <f t="shared" si="18"/>
        <v>3.0564899196120336E-3</v>
      </c>
      <c r="W100" s="2"/>
      <c r="X100" s="6">
        <f t="shared" si="19"/>
        <v>-2872.2840731730721</v>
      </c>
      <c r="Y100" s="2"/>
      <c r="Z100" s="7">
        <f t="shared" si="20"/>
        <v>-0.40936638619364191</v>
      </c>
    </row>
    <row r="101" spans="1:26" s="24" customFormat="1" hidden="1" outlineLevel="2" x14ac:dyDescent="0.25">
      <c r="A101" s="27"/>
      <c r="B101" s="11" t="str">
        <f>CONCATENATE("          ", "6113", " - ", "GROUP INSURANCE")</f>
        <v xml:space="preserve">          6113 - GROUP INSURANCE</v>
      </c>
      <c r="C101" s="11"/>
      <c r="D101" s="6">
        <v>15535.390000000001</v>
      </c>
      <c r="E101" s="2"/>
      <c r="F101" s="7">
        <f t="shared" si="13"/>
        <v>9.7273157162783477E-3</v>
      </c>
      <c r="G101" s="2"/>
      <c r="H101" s="6">
        <v>17287.5</v>
      </c>
      <c r="I101" s="2"/>
      <c r="J101" s="7">
        <f t="shared" si="14"/>
        <v>8.6715509924818988E-3</v>
      </c>
      <c r="K101" s="2"/>
      <c r="L101" s="6">
        <f t="shared" si="15"/>
        <v>-1752.1099999999988</v>
      </c>
      <c r="M101" s="2"/>
      <c r="N101" s="7">
        <f t="shared" si="16"/>
        <v>-0.10135126536514816</v>
      </c>
      <c r="O101" s="11"/>
      <c r="P101" s="6">
        <v>29004.070000000003</v>
      </c>
      <c r="Q101" s="2"/>
      <c r="R101" s="7">
        <f t="shared" si="17"/>
        <v>1.5894763068533706E-2</v>
      </c>
      <c r="S101" s="2"/>
      <c r="T101" s="6">
        <v>35354.999999999985</v>
      </c>
      <c r="U101" s="2"/>
      <c r="V101" s="7">
        <f t="shared" si="18"/>
        <v>1.5401343190541464E-2</v>
      </c>
      <c r="W101" s="2"/>
      <c r="X101" s="6">
        <f t="shared" si="19"/>
        <v>-6350.9299999999821</v>
      </c>
      <c r="Y101" s="2"/>
      <c r="Z101" s="7">
        <f t="shared" si="20"/>
        <v>-0.17963314948380665</v>
      </c>
    </row>
    <row r="102" spans="1:26" s="24" customFormat="1" hidden="1" outlineLevel="2" x14ac:dyDescent="0.25">
      <c r="A102" s="27"/>
      <c r="B102" s="11" t="str">
        <f>CONCATENATE("          ", "6114", " - ", "STATE UNEMPLOYMENT INSURANCE")</f>
        <v xml:space="preserve">          6114 - STATE UNEMPLOYMENT INSURANCE</v>
      </c>
      <c r="C102" s="11"/>
      <c r="D102" s="6">
        <v>373.18</v>
      </c>
      <c r="E102" s="2"/>
      <c r="F102" s="7">
        <f t="shared" si="13"/>
        <v>2.3366260383554926E-4</v>
      </c>
      <c r="G102" s="2"/>
      <c r="H102" s="6">
        <v>533.00706400000001</v>
      </c>
      <c r="I102" s="2"/>
      <c r="J102" s="7">
        <f t="shared" si="14"/>
        <v>2.6736069037333696E-4</v>
      </c>
      <c r="K102" s="2"/>
      <c r="L102" s="6">
        <f t="shared" si="15"/>
        <v>-159.82706400000001</v>
      </c>
      <c r="M102" s="2"/>
      <c r="N102" s="7">
        <f t="shared" si="16"/>
        <v>-0.29985918535593742</v>
      </c>
      <c r="O102" s="11"/>
      <c r="P102" s="6">
        <v>648.27</v>
      </c>
      <c r="Q102" s="2"/>
      <c r="R102" s="7">
        <f t="shared" si="17"/>
        <v>3.5526386656901411E-4</v>
      </c>
      <c r="S102" s="2"/>
      <c r="T102" s="6">
        <v>989.23402649999991</v>
      </c>
      <c r="U102" s="2"/>
      <c r="V102" s="7">
        <f t="shared" si="18"/>
        <v>4.3093007319721949E-4</v>
      </c>
      <c r="W102" s="2"/>
      <c r="X102" s="6">
        <f t="shared" si="19"/>
        <v>-340.96402649999993</v>
      </c>
      <c r="Y102" s="2"/>
      <c r="Z102" s="7">
        <f t="shared" si="20"/>
        <v>-0.34467478611341518</v>
      </c>
    </row>
    <row r="103" spans="1:26" s="24" customFormat="1" hidden="1" outlineLevel="2" x14ac:dyDescent="0.25">
      <c r="A103" s="27"/>
      <c r="B103" s="11" t="str">
        <f>CONCATENATE("          ", "6115", " - ", "P.E.R.S.")</f>
        <v xml:space="preserve">          6115 - P.E.R.S.</v>
      </c>
      <c r="C103" s="11"/>
      <c r="D103" s="6">
        <v>6155.57</v>
      </c>
      <c r="E103" s="2"/>
      <c r="F103" s="7">
        <f t="shared" si="13"/>
        <v>3.8542432989227497E-3</v>
      </c>
      <c r="G103" s="2"/>
      <c r="H103" s="6">
        <v>4692.7557153846165</v>
      </c>
      <c r="I103" s="2"/>
      <c r="J103" s="7">
        <f t="shared" si="14"/>
        <v>2.353924539766801E-3</v>
      </c>
      <c r="K103" s="2"/>
      <c r="L103" s="6">
        <f t="shared" si="15"/>
        <v>1462.8142846153833</v>
      </c>
      <c r="M103" s="2"/>
      <c r="N103" s="7">
        <f t="shared" si="16"/>
        <v>0.31171754366410515</v>
      </c>
      <c r="O103" s="11"/>
      <c r="P103" s="6">
        <v>14314.06</v>
      </c>
      <c r="Q103" s="2"/>
      <c r="R103" s="7">
        <f t="shared" si="17"/>
        <v>7.8443677817897819E-3</v>
      </c>
      <c r="S103" s="2"/>
      <c r="T103" s="6">
        <v>10558.700359615385</v>
      </c>
      <c r="U103" s="2"/>
      <c r="V103" s="7">
        <f t="shared" si="18"/>
        <v>4.599580480399666E-3</v>
      </c>
      <c r="W103" s="2"/>
      <c r="X103" s="6">
        <f t="shared" si="19"/>
        <v>3755.359640384615</v>
      </c>
      <c r="Y103" s="2"/>
      <c r="Z103" s="7">
        <f t="shared" si="20"/>
        <v>0.35566495046568491</v>
      </c>
    </row>
    <row r="104" spans="1:26" s="24" customFormat="1" hidden="1" outlineLevel="2" x14ac:dyDescent="0.25">
      <c r="A104" s="27"/>
      <c r="B104" s="11" t="str">
        <f>CONCATENATE("          ", "6116", " - ", "EDUCATIONAL BENEFITS")</f>
        <v xml:space="preserve">          6116 - EDUCATIONAL BENEFITS</v>
      </c>
      <c r="C104" s="11"/>
      <c r="D104" s="6"/>
      <c r="E104" s="2"/>
      <c r="F104" s="7">
        <f t="shared" si="13"/>
        <v>0</v>
      </c>
      <c r="G104" s="2"/>
      <c r="H104" s="6">
        <v>0</v>
      </c>
      <c r="I104" s="2"/>
      <c r="J104" s="7">
        <f t="shared" si="14"/>
        <v>0</v>
      </c>
      <c r="K104" s="2"/>
      <c r="L104" s="6">
        <f t="shared" si="15"/>
        <v>0</v>
      </c>
      <c r="M104" s="2"/>
      <c r="N104" s="7">
        <f t="shared" si="16"/>
        <v>0</v>
      </c>
      <c r="O104" s="11"/>
      <c r="P104" s="6">
        <v>0</v>
      </c>
      <c r="Q104" s="2"/>
      <c r="R104" s="7">
        <f t="shared" si="17"/>
        <v>0</v>
      </c>
      <c r="S104" s="2"/>
      <c r="T104" s="6">
        <v>0</v>
      </c>
      <c r="U104" s="2"/>
      <c r="V104" s="7">
        <f t="shared" si="18"/>
        <v>0</v>
      </c>
      <c r="W104" s="2"/>
      <c r="X104" s="6">
        <f t="shared" si="19"/>
        <v>0</v>
      </c>
      <c r="Y104" s="2"/>
      <c r="Z104" s="7">
        <f t="shared" si="20"/>
        <v>0</v>
      </c>
    </row>
    <row r="105" spans="1:26" s="24" customFormat="1" hidden="1" outlineLevel="2" x14ac:dyDescent="0.25">
      <c r="A105" s="27"/>
      <c r="B105" s="11" t="str">
        <f>CONCATENATE("          ", "6117", " - ", "RETIREMENT STAFF HOURLY")</f>
        <v xml:space="preserve">          6117 - RETIREMENT STAFF HOURLY</v>
      </c>
      <c r="C105" s="11"/>
      <c r="D105" s="6">
        <v>255.65</v>
      </c>
      <c r="E105" s="2"/>
      <c r="F105" s="7">
        <f t="shared" si="13"/>
        <v>1.6007247084666424E-4</v>
      </c>
      <c r="G105" s="2"/>
      <c r="H105" s="6"/>
      <c r="I105" s="2"/>
      <c r="J105" s="7">
        <f t="shared" si="14"/>
        <v>0</v>
      </c>
      <c r="K105" s="2"/>
      <c r="L105" s="6">
        <f t="shared" si="15"/>
        <v>255.65</v>
      </c>
      <c r="M105" s="2"/>
      <c r="N105" s="7">
        <f t="shared" si="16"/>
        <v>0</v>
      </c>
      <c r="O105" s="11"/>
      <c r="P105" s="6">
        <v>588.79</v>
      </c>
      <c r="Q105" s="2"/>
      <c r="R105" s="7">
        <f t="shared" si="17"/>
        <v>3.2266773411876193E-4</v>
      </c>
      <c r="S105" s="2"/>
      <c r="T105" s="6"/>
      <c r="U105" s="2"/>
      <c r="V105" s="7">
        <f t="shared" si="18"/>
        <v>0</v>
      </c>
      <c r="W105" s="2"/>
      <c r="X105" s="6">
        <f t="shared" si="19"/>
        <v>588.79</v>
      </c>
      <c r="Y105" s="2"/>
      <c r="Z105" s="7">
        <f t="shared" si="20"/>
        <v>0</v>
      </c>
    </row>
    <row r="106" spans="1:26" s="24" customFormat="1" hidden="1" outlineLevel="2" x14ac:dyDescent="0.25">
      <c r="A106" s="27"/>
      <c r="B106" s="11" t="str">
        <f>CONCATENATE("          ", "6118", " - ", "VACATION")</f>
        <v xml:space="preserve">          6118 - VACATION</v>
      </c>
      <c r="C106" s="11"/>
      <c r="D106" s="6">
        <v>4990.96</v>
      </c>
      <c r="E106" s="2"/>
      <c r="F106" s="7">
        <f t="shared" si="13"/>
        <v>3.1250353964281923E-3</v>
      </c>
      <c r="G106" s="2"/>
      <c r="H106" s="6">
        <v>3945.7434200000012</v>
      </c>
      <c r="I106" s="2"/>
      <c r="J106" s="7">
        <f t="shared" si="14"/>
        <v>1.9792170799583474E-3</v>
      </c>
      <c r="K106" s="2"/>
      <c r="L106" s="6">
        <f t="shared" si="15"/>
        <v>1045.2165799999989</v>
      </c>
      <c r="M106" s="2"/>
      <c r="N106" s="7">
        <f t="shared" si="16"/>
        <v>0.26489724970510081</v>
      </c>
      <c r="O106" s="11"/>
      <c r="P106" s="6">
        <v>9724.66</v>
      </c>
      <c r="Q106" s="2"/>
      <c r="R106" s="7">
        <f t="shared" si="17"/>
        <v>5.3292922897388876E-3</v>
      </c>
      <c r="S106" s="2"/>
      <c r="T106" s="6">
        <v>8877.9226949999975</v>
      </c>
      <c r="U106" s="2"/>
      <c r="V106" s="7">
        <f t="shared" si="18"/>
        <v>3.8674002049156214E-3</v>
      </c>
      <c r="W106" s="2"/>
      <c r="X106" s="6">
        <f t="shared" si="19"/>
        <v>846.73730500000238</v>
      </c>
      <c r="Y106" s="2"/>
      <c r="Z106" s="7">
        <f t="shared" si="20"/>
        <v>9.5375611400275048E-2</v>
      </c>
    </row>
    <row r="107" spans="1:26" s="24" customFormat="1" hidden="1" outlineLevel="2" x14ac:dyDescent="0.25">
      <c r="A107" s="27"/>
      <c r="B107" s="11" t="str">
        <f>CONCATENATE("          ", "6119", " - ", "SICK LEAVE")</f>
        <v xml:space="preserve">          6119 - SICK LEAVE</v>
      </c>
      <c r="C107" s="11"/>
      <c r="D107" s="6">
        <v>3619.21</v>
      </c>
      <c r="E107" s="2"/>
      <c r="F107" s="7">
        <f t="shared" si="13"/>
        <v>2.2661290327125197E-3</v>
      </c>
      <c r="G107" s="2"/>
      <c r="H107" s="6">
        <v>5016.0464030769217</v>
      </c>
      <c r="I107" s="2"/>
      <c r="J107" s="7">
        <f t="shared" si="14"/>
        <v>2.5160897853904228E-3</v>
      </c>
      <c r="K107" s="2"/>
      <c r="L107" s="6">
        <f t="shared" si="15"/>
        <v>-1396.8364030769217</v>
      </c>
      <c r="M107" s="2"/>
      <c r="N107" s="7">
        <f t="shared" si="16"/>
        <v>-0.27847358075078416</v>
      </c>
      <c r="O107" s="11"/>
      <c r="P107" s="6">
        <v>6955.19</v>
      </c>
      <c r="Q107" s="2"/>
      <c r="R107" s="7">
        <f t="shared" si="17"/>
        <v>3.8115718637637729E-3</v>
      </c>
      <c r="S107" s="2"/>
      <c r="T107" s="6">
        <v>9806.7060319230695</v>
      </c>
      <c r="U107" s="2"/>
      <c r="V107" s="7">
        <f t="shared" si="18"/>
        <v>4.2719967519841704E-3</v>
      </c>
      <c r="W107" s="2"/>
      <c r="X107" s="6">
        <f t="shared" si="19"/>
        <v>-2851.5160319230699</v>
      </c>
      <c r="Y107" s="2"/>
      <c r="Z107" s="7">
        <f t="shared" si="20"/>
        <v>-0.2907720515574479</v>
      </c>
    </row>
    <row r="108" spans="1:26" s="24" customFormat="1" hidden="1" outlineLevel="2" x14ac:dyDescent="0.25">
      <c r="A108" s="27"/>
      <c r="B108" s="11" t="str">
        <f>CONCATENATE("          ", "6156", " - ", "EMPLOYEE MEALS")</f>
        <v xml:space="preserve">          6156 - EMPLOYEE MEALS</v>
      </c>
      <c r="C108" s="11"/>
      <c r="D108" s="6">
        <v>1414.75</v>
      </c>
      <c r="E108" s="2"/>
      <c r="F108" s="7">
        <f t="shared" si="13"/>
        <v>8.8583034668616566E-4</v>
      </c>
      <c r="G108" s="2"/>
      <c r="H108" s="6">
        <v>1625</v>
      </c>
      <c r="I108" s="2"/>
      <c r="J108" s="7">
        <f t="shared" si="14"/>
        <v>8.151132530894047E-4</v>
      </c>
      <c r="K108" s="2"/>
      <c r="L108" s="6">
        <f t="shared" si="15"/>
        <v>-210.25</v>
      </c>
      <c r="M108" s="2"/>
      <c r="N108" s="7">
        <f t="shared" si="16"/>
        <v>-0.12938461538461538</v>
      </c>
      <c r="O108" s="11"/>
      <c r="P108" s="6">
        <v>2430.17</v>
      </c>
      <c r="Q108" s="2"/>
      <c r="R108" s="7">
        <f t="shared" si="17"/>
        <v>1.3317777941598732E-3</v>
      </c>
      <c r="S108" s="2"/>
      <c r="T108" s="6">
        <v>3250</v>
      </c>
      <c r="U108" s="2"/>
      <c r="V108" s="7">
        <f t="shared" si="18"/>
        <v>1.415764824473477E-3</v>
      </c>
      <c r="W108" s="2"/>
      <c r="X108" s="6">
        <f t="shared" si="19"/>
        <v>-819.82999999999993</v>
      </c>
      <c r="Y108" s="2"/>
      <c r="Z108" s="7">
        <f t="shared" si="20"/>
        <v>-0.2522553846153846</v>
      </c>
    </row>
    <row r="109" spans="1:26" s="29" customFormat="1" outlineLevel="1" collapsed="1" x14ac:dyDescent="0.25">
      <c r="A109" s="28"/>
      <c r="B109" s="14" t="str">
        <f>CONCATENATE("     ","*Payroll                                          ")</f>
        <v xml:space="preserve">     *Payroll                                          </v>
      </c>
      <c r="C109" s="14"/>
      <c r="D109" s="1">
        <f>SUM(OSRRefD22_1x_0)</f>
        <v>159836.01</v>
      </c>
      <c r="E109" s="1"/>
      <c r="F109" s="5">
        <f t="shared" ref="F109:F119" si="21">IF(D$12=0,0,D109/D$12)</f>
        <v>0.10007958165840851</v>
      </c>
      <c r="G109" s="1"/>
      <c r="H109" s="1">
        <f>SUM(OSRRefH22_1x_0)</f>
        <v>194558.60778215385</v>
      </c>
      <c r="I109" s="1"/>
      <c r="J109" s="5">
        <f t="shared" ref="J109:J119" si="22">IF(H$12=0,0,H109/H$12)</f>
        <v>9.7592184434373536E-2</v>
      </c>
      <c r="K109" s="1"/>
      <c r="L109" s="1">
        <f t="shared" ref="L109:L119" si="23">+D109-H109</f>
        <v>-34722.59778215384</v>
      </c>
      <c r="M109" s="1"/>
      <c r="N109" s="5">
        <f t="shared" ref="N109:N119" si="24">IF(H109=0,0,L109/H109)</f>
        <v>-0.17846857652801737</v>
      </c>
      <c r="O109" s="14"/>
      <c r="P109" s="1">
        <f>SUM(OSRRefP22_1x_0)</f>
        <v>280313.57</v>
      </c>
      <c r="Q109" s="1"/>
      <c r="R109" s="5">
        <f t="shared" ref="R109:R119" si="25">IF(P$12=0,0,P109/P$12)</f>
        <v>0.15361698479023247</v>
      </c>
      <c r="S109" s="1"/>
      <c r="T109" s="1">
        <f>SUM(OSRRefT22_1x_0)</f>
        <v>357905.00500984618</v>
      </c>
      <c r="U109" s="1"/>
      <c r="V109" s="5">
        <f t="shared" ref="V109:V119" si="26">IF(T$12=0,0,T109/T$12)</f>
        <v>0.15591055895259809</v>
      </c>
      <c r="W109" s="1"/>
      <c r="X109" s="1">
        <f t="shared" ref="X109:X119" si="27">+P109-T109</f>
        <v>-77591.435009846173</v>
      </c>
      <c r="Y109" s="1"/>
      <c r="Z109" s="5">
        <f t="shared" ref="Z109:Z119" si="28">IF(T109=0,0,X109/T109)</f>
        <v>-0.21679337791800812</v>
      </c>
    </row>
    <row r="110" spans="1:26" s="24" customFormat="1" hidden="1" outlineLevel="2" x14ac:dyDescent="0.25">
      <c r="A110" s="27"/>
      <c r="B110" s="11" t="str">
        <f>CONCATENATE("          ", "6001", " - ", "ADMINISTRATIVE SALARIES")</f>
        <v xml:space="preserve">          6001 - ADMINISTRATIVE SALARIES</v>
      </c>
      <c r="C110" s="11"/>
      <c r="D110" s="6">
        <v>4205.74</v>
      </c>
      <c r="E110" s="2"/>
      <c r="F110" s="7">
        <f t="shared" si="21"/>
        <v>2.6333784218214341E-3</v>
      </c>
      <c r="G110" s="2"/>
      <c r="H110" s="6">
        <v>7759.6923076923094</v>
      </c>
      <c r="I110" s="2"/>
      <c r="J110" s="7">
        <f t="shared" si="22"/>
        <v>3.8923249476282514E-3</v>
      </c>
      <c r="K110" s="2"/>
      <c r="L110" s="6">
        <f t="shared" si="23"/>
        <v>-3553.9523076923097</v>
      </c>
      <c r="M110" s="2"/>
      <c r="N110" s="7">
        <f t="shared" si="24"/>
        <v>-0.45800170506364263</v>
      </c>
      <c r="O110" s="11"/>
      <c r="P110" s="6">
        <v>8731.59</v>
      </c>
      <c r="Q110" s="2"/>
      <c r="R110" s="7">
        <f t="shared" si="25"/>
        <v>4.7850716903378807E-3</v>
      </c>
      <c r="S110" s="2"/>
      <c r="T110" s="6">
        <v>17459.307692307699</v>
      </c>
      <c r="U110" s="2"/>
      <c r="V110" s="7">
        <f t="shared" si="26"/>
        <v>7.6056226739779804E-3</v>
      </c>
      <c r="W110" s="2"/>
      <c r="X110" s="6">
        <f t="shared" si="27"/>
        <v>-8727.7176923076986</v>
      </c>
      <c r="Y110" s="2"/>
      <c r="Z110" s="7">
        <f t="shared" si="28"/>
        <v>-0.49988910477550014</v>
      </c>
    </row>
    <row r="111" spans="1:26" s="24" customFormat="1" hidden="1" outlineLevel="2" x14ac:dyDescent="0.25">
      <c r="A111" s="27"/>
      <c r="B111" s="11" t="str">
        <f>CONCATENATE("          ", "6002", " - ", "STAFF SALARIES")</f>
        <v xml:space="preserve">          6002 - STAFF SALARIES</v>
      </c>
      <c r="C111" s="11"/>
      <c r="D111" s="6">
        <v>54058.76</v>
      </c>
      <c r="E111" s="2"/>
      <c r="F111" s="7">
        <f t="shared" si="21"/>
        <v>3.3848305433627303E-2</v>
      </c>
      <c r="G111" s="2"/>
      <c r="H111" s="6">
        <v>41207.275394461554</v>
      </c>
      <c r="I111" s="2"/>
      <c r="J111" s="7">
        <f t="shared" si="22"/>
        <v>2.0669905413988027E-2</v>
      </c>
      <c r="K111" s="2"/>
      <c r="L111" s="6">
        <f t="shared" si="23"/>
        <v>12851.484605538448</v>
      </c>
      <c r="M111" s="2"/>
      <c r="N111" s="7">
        <f t="shared" si="24"/>
        <v>0.31187416499916776</v>
      </c>
      <c r="O111" s="11"/>
      <c r="P111" s="6">
        <v>118495.16</v>
      </c>
      <c r="Q111" s="2"/>
      <c r="R111" s="7">
        <f t="shared" si="25"/>
        <v>6.4937524042935776E-2</v>
      </c>
      <c r="S111" s="2"/>
      <c r="T111" s="6">
        <v>92716.369637538548</v>
      </c>
      <c r="U111" s="2"/>
      <c r="V111" s="7">
        <f t="shared" si="26"/>
        <v>4.0389099934063935E-2</v>
      </c>
      <c r="W111" s="2"/>
      <c r="X111" s="6">
        <f t="shared" si="27"/>
        <v>25778.790362461456</v>
      </c>
      <c r="Y111" s="2"/>
      <c r="Z111" s="7">
        <f t="shared" si="28"/>
        <v>0.27803925523874551</v>
      </c>
    </row>
    <row r="112" spans="1:26" s="24" customFormat="1" hidden="1" outlineLevel="2" x14ac:dyDescent="0.25">
      <c r="A112" s="27"/>
      <c r="B112" s="11" t="str">
        <f>CONCATENATE("          ", "6003", " - ", "STAFF HOURLY-9 MONTH")</f>
        <v xml:space="preserve">          6003 - STAFF HOURLY-9 MONTH</v>
      </c>
      <c r="C112" s="11"/>
      <c r="D112" s="6"/>
      <c r="E112" s="2"/>
      <c r="F112" s="7">
        <f t="shared" si="21"/>
        <v>0</v>
      </c>
      <c r="G112" s="2"/>
      <c r="H112" s="6">
        <v>0</v>
      </c>
      <c r="I112" s="2"/>
      <c r="J112" s="7">
        <f t="shared" si="22"/>
        <v>0</v>
      </c>
      <c r="K112" s="2"/>
      <c r="L112" s="6">
        <f t="shared" si="23"/>
        <v>0</v>
      </c>
      <c r="M112" s="2"/>
      <c r="N112" s="7">
        <f t="shared" si="24"/>
        <v>0</v>
      </c>
      <c r="O112" s="11"/>
      <c r="P112" s="6"/>
      <c r="Q112" s="2"/>
      <c r="R112" s="7">
        <f t="shared" si="25"/>
        <v>0</v>
      </c>
      <c r="S112" s="2"/>
      <c r="T112" s="6">
        <v>0</v>
      </c>
      <c r="U112" s="2"/>
      <c r="V112" s="7">
        <f t="shared" si="26"/>
        <v>0</v>
      </c>
      <c r="W112" s="2"/>
      <c r="X112" s="6">
        <f t="shared" si="27"/>
        <v>0</v>
      </c>
      <c r="Y112" s="2"/>
      <c r="Z112" s="7">
        <f t="shared" si="28"/>
        <v>0</v>
      </c>
    </row>
    <row r="113" spans="1:26" s="24" customFormat="1" hidden="1" outlineLevel="2" x14ac:dyDescent="0.25">
      <c r="A113" s="27"/>
      <c r="B113" s="11" t="str">
        <f>CONCATENATE("          ", "6004", " - ", "STAFF HOURLY")</f>
        <v xml:space="preserve">          6004 - STAFF HOURLY</v>
      </c>
      <c r="C113" s="11"/>
      <c r="D113" s="6">
        <v>13876.36</v>
      </c>
      <c r="E113" s="2"/>
      <c r="F113" s="7">
        <f t="shared" si="21"/>
        <v>8.6885321007542267E-3</v>
      </c>
      <c r="G113" s="2"/>
      <c r="H113" s="6">
        <v>24803.050080000001</v>
      </c>
      <c r="I113" s="2"/>
      <c r="J113" s="7">
        <f t="shared" si="22"/>
        <v>1.2441412207537366E-2</v>
      </c>
      <c r="K113" s="2"/>
      <c r="L113" s="6">
        <f t="shared" si="23"/>
        <v>-10926.69008</v>
      </c>
      <c r="M113" s="2"/>
      <c r="N113" s="7">
        <f t="shared" si="24"/>
        <v>-0.44053816142599184</v>
      </c>
      <c r="O113" s="11"/>
      <c r="P113" s="6">
        <v>29589.88</v>
      </c>
      <c r="Q113" s="2"/>
      <c r="R113" s="7">
        <f t="shared" si="25"/>
        <v>1.6215797707919755E-2</v>
      </c>
      <c r="S113" s="2"/>
      <c r="T113" s="6">
        <v>54831.487679999998</v>
      </c>
      <c r="U113" s="2"/>
      <c r="V113" s="7">
        <f t="shared" si="26"/>
        <v>2.3885689701813789E-2</v>
      </c>
      <c r="W113" s="2"/>
      <c r="X113" s="6">
        <f t="shared" si="27"/>
        <v>-25241.607679999997</v>
      </c>
      <c r="Y113" s="2"/>
      <c r="Z113" s="7">
        <f t="shared" si="28"/>
        <v>-0.46034876579150291</v>
      </c>
    </row>
    <row r="114" spans="1:26" s="24" customFormat="1" hidden="1" outlineLevel="2" x14ac:dyDescent="0.25">
      <c r="A114" s="27"/>
      <c r="B114" s="11" t="str">
        <f>CONCATENATE("          ", "6005", " - ", "TEMPORARY WAGES-HOURLY")</f>
        <v xml:space="preserve">          6005 - TEMPORARY WAGES-HOURLY</v>
      </c>
      <c r="C114" s="11"/>
      <c r="D114" s="6">
        <v>22505.489999999998</v>
      </c>
      <c r="E114" s="2"/>
      <c r="F114" s="7">
        <f t="shared" si="21"/>
        <v>1.4091568127967509E-2</v>
      </c>
      <c r="G114" s="2"/>
      <c r="H114" s="6">
        <v>3619.5</v>
      </c>
      <c r="I114" s="2"/>
      <c r="J114" s="7">
        <f t="shared" si="22"/>
        <v>1.8155707197274463E-3</v>
      </c>
      <c r="K114" s="2"/>
      <c r="L114" s="6">
        <f t="shared" si="23"/>
        <v>18885.989999999998</v>
      </c>
      <c r="M114" s="2"/>
      <c r="N114" s="7">
        <f t="shared" si="24"/>
        <v>5.2178450062163275</v>
      </c>
      <c r="O114" s="11"/>
      <c r="P114" s="6">
        <v>34891.040000000001</v>
      </c>
      <c r="Q114" s="2"/>
      <c r="R114" s="7">
        <f t="shared" si="25"/>
        <v>1.9120930752640312E-2</v>
      </c>
      <c r="S114" s="2"/>
      <c r="T114" s="6">
        <v>7296</v>
      </c>
      <c r="U114" s="2"/>
      <c r="V114" s="7">
        <f t="shared" si="26"/>
        <v>3.178283125956458E-3</v>
      </c>
      <c r="W114" s="2"/>
      <c r="X114" s="6">
        <f t="shared" si="27"/>
        <v>27595.040000000001</v>
      </c>
      <c r="Y114" s="2"/>
      <c r="Z114" s="7">
        <f t="shared" si="28"/>
        <v>3.7822149122807018</v>
      </c>
    </row>
    <row r="115" spans="1:26" s="24" customFormat="1" hidden="1" outlineLevel="2" x14ac:dyDescent="0.25">
      <c r="A115" s="27"/>
      <c r="B115" s="11" t="str">
        <f>CONCATENATE("          ", "6006", " - ", "TEMPORARY PART TIME")</f>
        <v xml:space="preserve">          6006 - TEMPORARY PART TIME</v>
      </c>
      <c r="C115" s="11"/>
      <c r="D115" s="6">
        <v>1927.34</v>
      </c>
      <c r="E115" s="2"/>
      <c r="F115" s="7">
        <f t="shared" si="21"/>
        <v>1.2067830078686089E-3</v>
      </c>
      <c r="G115" s="2"/>
      <c r="H115" s="6">
        <v>0</v>
      </c>
      <c r="I115" s="2"/>
      <c r="J115" s="7">
        <f t="shared" si="22"/>
        <v>0</v>
      </c>
      <c r="K115" s="2"/>
      <c r="L115" s="6">
        <f t="shared" si="23"/>
        <v>1927.34</v>
      </c>
      <c r="M115" s="2"/>
      <c r="N115" s="7">
        <f t="shared" si="24"/>
        <v>0</v>
      </c>
      <c r="O115" s="11"/>
      <c r="P115" s="6">
        <v>3975.55</v>
      </c>
      <c r="Q115" s="2"/>
      <c r="R115" s="7">
        <f t="shared" si="25"/>
        <v>2.1786744176630788E-3</v>
      </c>
      <c r="S115" s="2"/>
      <c r="T115" s="6">
        <v>0</v>
      </c>
      <c r="U115" s="2"/>
      <c r="V115" s="7">
        <f t="shared" si="26"/>
        <v>0</v>
      </c>
      <c r="W115" s="2"/>
      <c r="X115" s="6">
        <f t="shared" si="27"/>
        <v>3975.55</v>
      </c>
      <c r="Y115" s="2"/>
      <c r="Z115" s="7">
        <f t="shared" si="28"/>
        <v>0</v>
      </c>
    </row>
    <row r="116" spans="1:26" s="24" customFormat="1" hidden="1" outlineLevel="2" x14ac:dyDescent="0.25">
      <c r="A116" s="27"/>
      <c r="B116" s="11" t="str">
        <f>CONCATENATE("          ", "6007", " - ", "STUDENT HOURLY")</f>
        <v xml:space="preserve">          6007 - STUDENT HOURLY</v>
      </c>
      <c r="C116" s="11"/>
      <c r="D116" s="6">
        <v>62829.29</v>
      </c>
      <c r="E116" s="2"/>
      <c r="F116" s="7">
        <f t="shared" si="21"/>
        <v>3.9339877535073786E-2</v>
      </c>
      <c r="G116" s="2"/>
      <c r="H116" s="6">
        <v>73331</v>
      </c>
      <c r="I116" s="2"/>
      <c r="J116" s="7">
        <f t="shared" si="22"/>
        <v>3.6783427669107159E-2</v>
      </c>
      <c r="K116" s="2"/>
      <c r="L116" s="6">
        <f t="shared" si="23"/>
        <v>-10501.71</v>
      </c>
      <c r="M116" s="2"/>
      <c r="N116" s="7">
        <f t="shared" si="24"/>
        <v>-0.14320969303568748</v>
      </c>
      <c r="O116" s="11"/>
      <c r="P116" s="6">
        <v>84197.319999999992</v>
      </c>
      <c r="Q116" s="2"/>
      <c r="R116" s="7">
        <f t="shared" si="25"/>
        <v>4.6141677785411297E-2</v>
      </c>
      <c r="S116" s="2"/>
      <c r="T116" s="6">
        <v>136745</v>
      </c>
      <c r="U116" s="2"/>
      <c r="V116" s="7">
        <f t="shared" si="26"/>
        <v>5.9568849514654035E-2</v>
      </c>
      <c r="W116" s="2"/>
      <c r="X116" s="6">
        <f t="shared" si="27"/>
        <v>-52547.680000000008</v>
      </c>
      <c r="Y116" s="2"/>
      <c r="Z116" s="7">
        <f t="shared" si="28"/>
        <v>-0.38427496434970204</v>
      </c>
    </row>
    <row r="117" spans="1:26" s="24" customFormat="1" hidden="1" outlineLevel="2" x14ac:dyDescent="0.25">
      <c r="A117" s="27"/>
      <c r="B117" s="11" t="str">
        <f>CONCATENATE("          ", "6008", " - ", "STUDENT HOURLY-FICA EXEMPT")</f>
        <v xml:space="preserve">          6008 - STUDENT HOURLY-FICA EXEMPT</v>
      </c>
      <c r="C117" s="11"/>
      <c r="D117" s="6">
        <v>433.03</v>
      </c>
      <c r="E117" s="2"/>
      <c r="F117" s="7">
        <f t="shared" si="21"/>
        <v>2.7113703129564253E-4</v>
      </c>
      <c r="G117" s="2"/>
      <c r="H117" s="6">
        <v>43838.09</v>
      </c>
      <c r="I117" s="2"/>
      <c r="J117" s="7">
        <f t="shared" si="22"/>
        <v>2.1989543476385293E-2</v>
      </c>
      <c r="K117" s="2"/>
      <c r="L117" s="6">
        <f t="shared" si="23"/>
        <v>-43405.06</v>
      </c>
      <c r="M117" s="2"/>
      <c r="N117" s="7">
        <f t="shared" si="24"/>
        <v>-0.99012206051860385</v>
      </c>
      <c r="O117" s="11"/>
      <c r="P117" s="6">
        <v>433.03</v>
      </c>
      <c r="Q117" s="2"/>
      <c r="R117" s="7">
        <f t="shared" si="25"/>
        <v>2.3730839332435584E-4</v>
      </c>
      <c r="S117" s="2"/>
      <c r="T117" s="6">
        <v>48856.84</v>
      </c>
      <c r="U117" s="2"/>
      <c r="V117" s="7">
        <f t="shared" si="26"/>
        <v>2.1283014002131923E-2</v>
      </c>
      <c r="W117" s="2"/>
      <c r="X117" s="6">
        <f t="shared" si="27"/>
        <v>-48423.81</v>
      </c>
      <c r="Y117" s="2"/>
      <c r="Z117" s="7">
        <f t="shared" si="28"/>
        <v>-0.99113675792376255</v>
      </c>
    </row>
    <row r="118" spans="1:26" s="24" customFormat="1" hidden="1" outlineLevel="2" x14ac:dyDescent="0.25">
      <c r="A118" s="27"/>
      <c r="B118" s="11" t="str">
        <f>CONCATENATE("          ", "6009", " - ", "TEMPORARY-SEASONAL")</f>
        <v xml:space="preserve">          6009 - TEMPORARY-SEASONAL</v>
      </c>
      <c r="C118" s="11"/>
      <c r="D118" s="6"/>
      <c r="E118" s="2"/>
      <c r="F118" s="7">
        <f t="shared" si="21"/>
        <v>0</v>
      </c>
      <c r="G118" s="2"/>
      <c r="H118" s="6">
        <v>0</v>
      </c>
      <c r="I118" s="2"/>
      <c r="J118" s="7">
        <f t="shared" si="22"/>
        <v>0</v>
      </c>
      <c r="K118" s="2"/>
      <c r="L118" s="6">
        <f t="shared" si="23"/>
        <v>0</v>
      </c>
      <c r="M118" s="2"/>
      <c r="N118" s="7">
        <f t="shared" si="24"/>
        <v>0</v>
      </c>
      <c r="O118" s="11"/>
      <c r="P118" s="6"/>
      <c r="Q118" s="2"/>
      <c r="R118" s="7">
        <f t="shared" si="25"/>
        <v>0</v>
      </c>
      <c r="S118" s="2"/>
      <c r="T118" s="6">
        <v>0</v>
      </c>
      <c r="U118" s="2"/>
      <c r="V118" s="7">
        <f t="shared" si="26"/>
        <v>0</v>
      </c>
      <c r="W118" s="2"/>
      <c r="X118" s="6">
        <f t="shared" si="27"/>
        <v>0</v>
      </c>
      <c r="Y118" s="2"/>
      <c r="Z118" s="7">
        <f t="shared" si="28"/>
        <v>0</v>
      </c>
    </row>
    <row r="119" spans="1:26" s="24" customFormat="1" hidden="1" outlineLevel="2" x14ac:dyDescent="0.25">
      <c r="A119" s="27"/>
      <c r="B119" s="11" t="str">
        <f>CONCATENATE("          ", "6010", " - ", "GRATUITY")</f>
        <v xml:space="preserve">          6010 - GRATUITY</v>
      </c>
      <c r="C119" s="11"/>
      <c r="D119" s="6"/>
      <c r="E119" s="2"/>
      <c r="F119" s="7">
        <f t="shared" si="21"/>
        <v>0</v>
      </c>
      <c r="G119" s="2"/>
      <c r="H119" s="6">
        <v>0</v>
      </c>
      <c r="I119" s="2"/>
      <c r="J119" s="7">
        <f t="shared" si="22"/>
        <v>0</v>
      </c>
      <c r="K119" s="2"/>
      <c r="L119" s="6">
        <f t="shared" si="23"/>
        <v>0</v>
      </c>
      <c r="M119" s="2"/>
      <c r="N119" s="7">
        <f t="shared" si="24"/>
        <v>0</v>
      </c>
      <c r="O119" s="11"/>
      <c r="P119" s="6"/>
      <c r="Q119" s="2"/>
      <c r="R119" s="7">
        <f t="shared" si="25"/>
        <v>0</v>
      </c>
      <c r="S119" s="2"/>
      <c r="T119" s="6">
        <v>0</v>
      </c>
      <c r="U119" s="2"/>
      <c r="V119" s="7">
        <f t="shared" si="26"/>
        <v>0</v>
      </c>
      <c r="W119" s="2"/>
      <c r="X119" s="6">
        <f t="shared" si="27"/>
        <v>0</v>
      </c>
      <c r="Y119" s="2"/>
      <c r="Z119" s="7">
        <f t="shared" si="28"/>
        <v>0</v>
      </c>
    </row>
    <row r="120" spans="1:26" s="29" customFormat="1" outlineLevel="1" collapsed="1" x14ac:dyDescent="0.25">
      <c r="A120" s="28"/>
      <c r="B120" s="14" t="str">
        <f>CONCATENATE("     ","Advertising/Promo                                 ")</f>
        <v xml:space="preserve">     Advertising/Promo                                 </v>
      </c>
      <c r="C120" s="14"/>
      <c r="D120" s="1">
        <f>SUM(OSRRefD22_2x_0)</f>
        <v>9411.3700000000008</v>
      </c>
      <c r="E120" s="1"/>
      <c r="F120" s="5">
        <f t="shared" ref="F120:F124" si="29">IF(D$12=0,0,D120/D$12)</f>
        <v>5.8928271071862727E-3</v>
      </c>
      <c r="G120" s="1"/>
      <c r="H120" s="1">
        <f>SUM(OSRRefH22_2x_0)</f>
        <v>1580</v>
      </c>
      <c r="I120" s="1"/>
      <c r="J120" s="5">
        <f t="shared" ref="J120:J124" si="30">IF(H$12=0,0,H120/H$12)</f>
        <v>7.9254088608077505E-4</v>
      </c>
      <c r="K120" s="1"/>
      <c r="L120" s="1">
        <f t="shared" ref="L120:L124" si="31">+D120-H120</f>
        <v>7831.3700000000008</v>
      </c>
      <c r="M120" s="1"/>
      <c r="N120" s="5">
        <f t="shared" ref="N120:N124" si="32">IF(H120=0,0,L120/H120)</f>
        <v>4.9565632911392408</v>
      </c>
      <c r="O120" s="14"/>
      <c r="P120" s="1">
        <f>SUM(OSRRefP22_2x_0)</f>
        <v>12002.2</v>
      </c>
      <c r="Q120" s="1"/>
      <c r="R120" s="5">
        <f t="shared" ref="R120:R124" si="33">IF(P$12=0,0,P120/P$12)</f>
        <v>6.5774260405920704E-3</v>
      </c>
      <c r="S120" s="1"/>
      <c r="T120" s="1">
        <f>SUM(OSRRefT22_2x_0)</f>
        <v>2360</v>
      </c>
      <c r="U120" s="1"/>
      <c r="V120" s="5">
        <f t="shared" ref="V120:V124" si="34">IF(T$12=0,0,T120/T$12)</f>
        <v>1.0280630725407402E-3</v>
      </c>
      <c r="W120" s="1"/>
      <c r="X120" s="1">
        <f t="shared" ref="X120:X124" si="35">+P120-T120</f>
        <v>9642.2000000000007</v>
      </c>
      <c r="Y120" s="1"/>
      <c r="Z120" s="5">
        <f t="shared" ref="Z120:Z124" si="36">IF(T120=0,0,X120/T120)</f>
        <v>4.0856779661016951</v>
      </c>
    </row>
    <row r="121" spans="1:26" s="24" customFormat="1" hidden="1" outlineLevel="2" x14ac:dyDescent="0.25">
      <c r="A121" s="27"/>
      <c r="B121" s="11" t="str">
        <f>CONCATENATE("          ", "6362", " - ", "ADVERTISING EXPENSE")</f>
        <v xml:space="preserve">          6362 - ADVERTISING EXPENSE</v>
      </c>
      <c r="C121" s="11"/>
      <c r="D121" s="6">
        <v>9411.3700000000008</v>
      </c>
      <c r="E121" s="2"/>
      <c r="F121" s="7">
        <f t="shared" si="29"/>
        <v>5.8928271071862727E-3</v>
      </c>
      <c r="G121" s="2"/>
      <c r="H121" s="6">
        <v>1580</v>
      </c>
      <c r="I121" s="2"/>
      <c r="J121" s="7">
        <f t="shared" si="30"/>
        <v>7.9254088608077505E-4</v>
      </c>
      <c r="K121" s="2"/>
      <c r="L121" s="6">
        <f t="shared" si="31"/>
        <v>7831.3700000000008</v>
      </c>
      <c r="M121" s="2"/>
      <c r="N121" s="7">
        <f t="shared" si="32"/>
        <v>4.9565632911392408</v>
      </c>
      <c r="O121" s="11"/>
      <c r="P121" s="6">
        <v>12002.2</v>
      </c>
      <c r="Q121" s="2"/>
      <c r="R121" s="7">
        <f t="shared" si="33"/>
        <v>6.5774260405920704E-3</v>
      </c>
      <c r="S121" s="2"/>
      <c r="T121" s="6">
        <v>2360</v>
      </c>
      <c r="U121" s="2"/>
      <c r="V121" s="7">
        <f t="shared" si="34"/>
        <v>1.0280630725407402E-3</v>
      </c>
      <c r="W121" s="2"/>
      <c r="X121" s="6">
        <f t="shared" si="35"/>
        <v>9642.2000000000007</v>
      </c>
      <c r="Y121" s="2"/>
      <c r="Z121" s="7">
        <f t="shared" si="36"/>
        <v>4.0856779661016951</v>
      </c>
    </row>
    <row r="122" spans="1:26" s="29" customFormat="1" outlineLevel="1" collapsed="1" x14ac:dyDescent="0.25">
      <c r="A122" s="28"/>
      <c r="B122" s="14" t="str">
        <f>CONCATENATE("     ","Bad Debts/Over/Short                              ")</f>
        <v xml:space="preserve">     Bad Debts/Over/Short                              </v>
      </c>
      <c r="C122" s="14"/>
      <c r="D122" s="1">
        <f>SUM(OSRRefD22_3x_0)</f>
        <v>66.81</v>
      </c>
      <c r="E122" s="1"/>
      <c r="F122" s="5">
        <f t="shared" si="29"/>
        <v>4.1832355866480105E-5</v>
      </c>
      <c r="G122" s="1"/>
      <c r="H122" s="1">
        <f>SUM(OSRRefH22_3x_0)</f>
        <v>110</v>
      </c>
      <c r="I122" s="1"/>
      <c r="J122" s="5">
        <f t="shared" si="30"/>
        <v>5.517689713220586E-5</v>
      </c>
      <c r="K122" s="1"/>
      <c r="L122" s="1">
        <f t="shared" si="31"/>
        <v>-43.19</v>
      </c>
      <c r="M122" s="1"/>
      <c r="N122" s="5">
        <f t="shared" si="32"/>
        <v>-0.39263636363636362</v>
      </c>
      <c r="O122" s="14"/>
      <c r="P122" s="1">
        <f>SUM(OSRRefP22_3x_0)</f>
        <v>71.790000000000006</v>
      </c>
      <c r="Q122" s="1"/>
      <c r="R122" s="5">
        <f t="shared" si="33"/>
        <v>3.9342238544108976E-5</v>
      </c>
      <c r="S122" s="1"/>
      <c r="T122" s="1">
        <f>SUM(OSRRefT22_3x_0)</f>
        <v>220</v>
      </c>
      <c r="U122" s="1"/>
      <c r="V122" s="5">
        <f t="shared" si="34"/>
        <v>9.5836388118204603E-5</v>
      </c>
      <c r="W122" s="1"/>
      <c r="X122" s="1">
        <f t="shared" si="35"/>
        <v>-148.20999999999998</v>
      </c>
      <c r="Y122" s="1"/>
      <c r="Z122" s="5">
        <f t="shared" si="36"/>
        <v>-0.67368181818181805</v>
      </c>
    </row>
    <row r="123" spans="1:26" s="24" customFormat="1" hidden="1" outlineLevel="2" x14ac:dyDescent="0.25">
      <c r="A123" s="27"/>
      <c r="B123" s="11" t="str">
        <f>CONCATENATE("          ", "6272", " - ", "CASH (OVER/SHORT)")</f>
        <v xml:space="preserve">          6272 - CASH (OVER/SHORT)</v>
      </c>
      <c r="C123" s="11"/>
      <c r="D123" s="6">
        <v>66.81</v>
      </c>
      <c r="E123" s="2"/>
      <c r="F123" s="7">
        <f t="shared" si="29"/>
        <v>4.1832355866480105E-5</v>
      </c>
      <c r="G123" s="2"/>
      <c r="H123" s="6">
        <v>60</v>
      </c>
      <c r="I123" s="2"/>
      <c r="J123" s="7">
        <f t="shared" si="30"/>
        <v>3.009648934483956E-5</v>
      </c>
      <c r="K123" s="2"/>
      <c r="L123" s="6">
        <f t="shared" si="31"/>
        <v>6.8100000000000023</v>
      </c>
      <c r="M123" s="2"/>
      <c r="N123" s="7">
        <f t="shared" si="32"/>
        <v>0.11350000000000003</v>
      </c>
      <c r="O123" s="11"/>
      <c r="P123" s="6">
        <v>71.790000000000006</v>
      </c>
      <c r="Q123" s="2"/>
      <c r="R123" s="7">
        <f t="shared" si="33"/>
        <v>3.9342238544108976E-5</v>
      </c>
      <c r="S123" s="2"/>
      <c r="T123" s="6">
        <v>120</v>
      </c>
      <c r="U123" s="2"/>
      <c r="V123" s="7">
        <f t="shared" si="34"/>
        <v>5.2274393519020688E-5</v>
      </c>
      <c r="W123" s="2"/>
      <c r="X123" s="6">
        <f t="shared" si="35"/>
        <v>-48.209999999999994</v>
      </c>
      <c r="Y123" s="2"/>
      <c r="Z123" s="7">
        <f t="shared" si="36"/>
        <v>-0.40174999999999994</v>
      </c>
    </row>
    <row r="124" spans="1:26" s="24" customFormat="1" hidden="1" outlineLevel="2" x14ac:dyDescent="0.25">
      <c r="A124" s="27"/>
      <c r="B124" s="11" t="str">
        <f>CONCATENATE("          ", "6342", " - ", "BAD DEBT")</f>
        <v xml:space="preserve">          6342 - BAD DEBT</v>
      </c>
      <c r="C124" s="11"/>
      <c r="D124" s="6"/>
      <c r="E124" s="2"/>
      <c r="F124" s="7">
        <f t="shared" si="29"/>
        <v>0</v>
      </c>
      <c r="G124" s="2"/>
      <c r="H124" s="6">
        <v>50</v>
      </c>
      <c r="I124" s="2"/>
      <c r="J124" s="7">
        <f t="shared" si="30"/>
        <v>2.50804077873663E-5</v>
      </c>
      <c r="K124" s="2"/>
      <c r="L124" s="6">
        <f t="shared" si="31"/>
        <v>-50</v>
      </c>
      <c r="M124" s="2"/>
      <c r="N124" s="7">
        <f t="shared" si="32"/>
        <v>-1</v>
      </c>
      <c r="O124" s="11"/>
      <c r="P124" s="6"/>
      <c r="Q124" s="2"/>
      <c r="R124" s="7">
        <f t="shared" si="33"/>
        <v>0</v>
      </c>
      <c r="S124" s="2"/>
      <c r="T124" s="6">
        <v>100</v>
      </c>
      <c r="U124" s="2"/>
      <c r="V124" s="7">
        <f t="shared" si="34"/>
        <v>4.3561994599183908E-5</v>
      </c>
      <c r="W124" s="2"/>
      <c r="X124" s="6">
        <f t="shared" si="35"/>
        <v>-100</v>
      </c>
      <c r="Y124" s="2"/>
      <c r="Z124" s="7">
        <f t="shared" si="36"/>
        <v>-1</v>
      </c>
    </row>
    <row r="125" spans="1:26" s="29" customFormat="1" outlineLevel="1" collapsed="1" x14ac:dyDescent="0.25">
      <c r="A125" s="28"/>
      <c r="B125" s="14" t="str">
        <f>CONCATENATE("     ","Bank/card Fees                                    ")</f>
        <v xml:space="preserve">     Bank/card Fees                                    </v>
      </c>
      <c r="C125" s="14"/>
      <c r="D125" s="1">
        <f>SUM(OSRRefD22_4x_0)</f>
        <v>22080.34</v>
      </c>
      <c r="E125" s="1"/>
      <c r="F125" s="5">
        <f t="shared" ref="F125:F129" si="37">IF(D$12=0,0,D125/D$12)</f>
        <v>1.3825365073085995E-2</v>
      </c>
      <c r="G125" s="1"/>
      <c r="H125" s="1">
        <f>SUM(OSRRefH22_4x_0)</f>
        <v>33786</v>
      </c>
      <c r="I125" s="1"/>
      <c r="J125" s="5">
        <f t="shared" ref="J125:J129" si="38">IF(H$12=0,0,H125/H$12)</f>
        <v>1.6947333150079156E-2</v>
      </c>
      <c r="K125" s="1"/>
      <c r="L125" s="1">
        <f t="shared" ref="L125:L129" si="39">+D125-H125</f>
        <v>-11705.66</v>
      </c>
      <c r="M125" s="1"/>
      <c r="N125" s="5">
        <f t="shared" ref="N125:N129" si="40">IF(H125=0,0,L125/H125)</f>
        <v>-0.34646480790860118</v>
      </c>
      <c r="O125" s="14"/>
      <c r="P125" s="1">
        <f>SUM(OSRRefP22_4x_0)</f>
        <v>25197.550000000003</v>
      </c>
      <c r="Q125" s="1"/>
      <c r="R125" s="5">
        <f t="shared" ref="R125:R129" si="41">IF(P$12=0,0,P125/P$12)</f>
        <v>1.3808720195390907E-2</v>
      </c>
      <c r="S125" s="1"/>
      <c r="T125" s="1">
        <f>SUM(OSRRefT22_4x_0)</f>
        <v>38386</v>
      </c>
      <c r="U125" s="1"/>
      <c r="V125" s="5">
        <f t="shared" ref="V125:V129" si="42">IF(T$12=0,0,T125/T$12)</f>
        <v>1.6721707246842736E-2</v>
      </c>
      <c r="W125" s="1"/>
      <c r="X125" s="1">
        <f t="shared" ref="X125:X129" si="43">+P125-T125</f>
        <v>-13188.449999999997</v>
      </c>
      <c r="Y125" s="1"/>
      <c r="Z125" s="5">
        <f t="shared" ref="Z125:Z129" si="44">IF(T125=0,0,X125/T125)</f>
        <v>-0.3435744802792684</v>
      </c>
    </row>
    <row r="126" spans="1:26" s="24" customFormat="1" hidden="1" outlineLevel="2" x14ac:dyDescent="0.25">
      <c r="A126" s="27"/>
      <c r="B126" s="11" t="str">
        <f>CONCATENATE("          ", "6381", " - ", "BANK/CREDIT CARD FEES")</f>
        <v xml:space="preserve">          6381 - BANK/CREDIT CARD FEES</v>
      </c>
      <c r="C126" s="11"/>
      <c r="D126" s="6">
        <v>22080.34</v>
      </c>
      <c r="E126" s="2"/>
      <c r="F126" s="7">
        <f t="shared" si="37"/>
        <v>1.3825365073085995E-2</v>
      </c>
      <c r="G126" s="2"/>
      <c r="H126" s="6">
        <v>33786</v>
      </c>
      <c r="I126" s="2"/>
      <c r="J126" s="7">
        <f t="shared" si="38"/>
        <v>1.6947333150079156E-2</v>
      </c>
      <c r="K126" s="2"/>
      <c r="L126" s="6">
        <f t="shared" si="39"/>
        <v>-11705.66</v>
      </c>
      <c r="M126" s="2"/>
      <c r="N126" s="7">
        <f t="shared" si="40"/>
        <v>-0.34646480790860118</v>
      </c>
      <c r="O126" s="11"/>
      <c r="P126" s="6">
        <v>25197.550000000003</v>
      </c>
      <c r="Q126" s="2"/>
      <c r="R126" s="7">
        <f t="shared" si="41"/>
        <v>1.3808720195390907E-2</v>
      </c>
      <c r="S126" s="2"/>
      <c r="T126" s="6">
        <v>38386</v>
      </c>
      <c r="U126" s="2"/>
      <c r="V126" s="7">
        <f t="shared" si="42"/>
        <v>1.6721707246842736E-2</v>
      </c>
      <c r="W126" s="2"/>
      <c r="X126" s="6">
        <f t="shared" si="43"/>
        <v>-13188.449999999997</v>
      </c>
      <c r="Y126" s="2"/>
      <c r="Z126" s="7">
        <f t="shared" si="44"/>
        <v>-0.3435744802792684</v>
      </c>
    </row>
    <row r="127" spans="1:26" s="29" customFormat="1" outlineLevel="1" collapsed="1" x14ac:dyDescent="0.25">
      <c r="A127" s="28"/>
      <c r="B127" s="14" t="str">
        <f>CONCATENATE("     ","Depreciation                                      ")</f>
        <v xml:space="preserve">     Depreciation                                      </v>
      </c>
      <c r="C127" s="14"/>
      <c r="D127" s="1">
        <f>SUM(OSRRefD22_5x_0)</f>
        <v>31089.33</v>
      </c>
      <c r="E127" s="1"/>
      <c r="F127" s="5">
        <f t="shared" si="37"/>
        <v>1.9466246313582337E-2</v>
      </c>
      <c r="G127" s="1"/>
      <c r="H127" s="1">
        <f>SUM(OSRRefH22_5x_0)</f>
        <v>30630</v>
      </c>
      <c r="I127" s="1"/>
      <c r="J127" s="5">
        <f t="shared" si="38"/>
        <v>1.5364257810540596E-2</v>
      </c>
      <c r="K127" s="1"/>
      <c r="L127" s="1">
        <f t="shared" si="39"/>
        <v>459.33000000000175</v>
      </c>
      <c r="M127" s="1"/>
      <c r="N127" s="5">
        <f t="shared" si="40"/>
        <v>1.4996082272282133E-2</v>
      </c>
      <c r="O127" s="14"/>
      <c r="P127" s="1">
        <f>SUM(OSRRefP22_5x_0)</f>
        <v>61436.19</v>
      </c>
      <c r="Q127" s="1"/>
      <c r="R127" s="5">
        <f t="shared" si="41"/>
        <v>3.3668160498972033E-2</v>
      </c>
      <c r="S127" s="1"/>
      <c r="T127" s="1">
        <f>SUM(OSRRefT22_5x_0)</f>
        <v>61260</v>
      </c>
      <c r="U127" s="1"/>
      <c r="V127" s="5">
        <f t="shared" si="42"/>
        <v>2.6686077891460065E-2</v>
      </c>
      <c r="W127" s="1"/>
      <c r="X127" s="1">
        <f t="shared" si="43"/>
        <v>176.19000000000233</v>
      </c>
      <c r="Y127" s="1"/>
      <c r="Z127" s="5">
        <f t="shared" si="44"/>
        <v>2.8761018609207039E-3</v>
      </c>
    </row>
    <row r="128" spans="1:26" s="24" customFormat="1" hidden="1" outlineLevel="2" x14ac:dyDescent="0.25">
      <c r="A128" s="27"/>
      <c r="B128" s="11" t="str">
        <f>CONCATENATE("          ", "6321", " - ", "BUILDING DEPRECIATION")</f>
        <v xml:space="preserve">          6321 - BUILDING DEPRECIATION</v>
      </c>
      <c r="C128" s="11"/>
      <c r="D128" s="6">
        <v>16396.52</v>
      </c>
      <c r="E128" s="2"/>
      <c r="F128" s="7">
        <f t="shared" si="37"/>
        <v>1.0266502912915108E-2</v>
      </c>
      <c r="G128" s="2"/>
      <c r="H128" s="6"/>
      <c r="I128" s="2"/>
      <c r="J128" s="7">
        <f t="shared" si="38"/>
        <v>0</v>
      </c>
      <c r="K128" s="2"/>
      <c r="L128" s="6">
        <f t="shared" si="39"/>
        <v>16396.52</v>
      </c>
      <c r="M128" s="2"/>
      <c r="N128" s="7">
        <f t="shared" si="40"/>
        <v>0</v>
      </c>
      <c r="O128" s="11"/>
      <c r="P128" s="6">
        <v>32793.040000000001</v>
      </c>
      <c r="Q128" s="2"/>
      <c r="R128" s="7">
        <f t="shared" si="41"/>
        <v>1.7971188219341235E-2</v>
      </c>
      <c r="S128" s="2"/>
      <c r="T128" s="6"/>
      <c r="U128" s="2"/>
      <c r="V128" s="7">
        <f t="shared" si="42"/>
        <v>0</v>
      </c>
      <c r="W128" s="2"/>
      <c r="X128" s="6">
        <f t="shared" si="43"/>
        <v>32793.040000000001</v>
      </c>
      <c r="Y128" s="2"/>
      <c r="Z128" s="7">
        <f t="shared" si="44"/>
        <v>0</v>
      </c>
    </row>
    <row r="129" spans="1:26" s="24" customFormat="1" hidden="1" outlineLevel="2" x14ac:dyDescent="0.25">
      <c r="A129" s="27"/>
      <c r="B129" s="11" t="str">
        <f>CONCATENATE("          ", "6322", " - ", "EQUIPMENT DEPRECIATION EXPENSE")</f>
        <v xml:space="preserve">          6322 - EQUIPMENT DEPRECIATION EXPENSE</v>
      </c>
      <c r="C129" s="11"/>
      <c r="D129" s="6">
        <v>14692.81</v>
      </c>
      <c r="E129" s="2"/>
      <c r="F129" s="7">
        <f t="shared" si="37"/>
        <v>9.1997434006672284E-3</v>
      </c>
      <c r="G129" s="2"/>
      <c r="H129" s="6">
        <v>30630</v>
      </c>
      <c r="I129" s="2"/>
      <c r="J129" s="7">
        <f t="shared" si="38"/>
        <v>1.5364257810540596E-2</v>
      </c>
      <c r="K129" s="2"/>
      <c r="L129" s="6">
        <f t="shared" si="39"/>
        <v>-15937.19</v>
      </c>
      <c r="M129" s="2"/>
      <c r="N129" s="7">
        <f t="shared" si="40"/>
        <v>-0.52031309174012408</v>
      </c>
      <c r="O129" s="11"/>
      <c r="P129" s="6">
        <v>28643.15</v>
      </c>
      <c r="Q129" s="2"/>
      <c r="R129" s="7">
        <f t="shared" si="41"/>
        <v>1.5696972279630798E-2</v>
      </c>
      <c r="S129" s="2"/>
      <c r="T129" s="6">
        <v>61260</v>
      </c>
      <c r="U129" s="2"/>
      <c r="V129" s="7">
        <f t="shared" si="42"/>
        <v>2.6686077891460065E-2</v>
      </c>
      <c r="W129" s="2"/>
      <c r="X129" s="6">
        <f t="shared" si="43"/>
        <v>-32616.85</v>
      </c>
      <c r="Y129" s="2"/>
      <c r="Z129" s="7">
        <f t="shared" si="44"/>
        <v>-0.5324330721514855</v>
      </c>
    </row>
    <row r="130" spans="1:26" s="29" customFormat="1" outlineLevel="1" collapsed="1" x14ac:dyDescent="0.25">
      <c r="A130" s="28"/>
      <c r="B130" s="14" t="str">
        <f>CONCATENATE("     ","Discounts and Markdowns                           ")</f>
        <v xml:space="preserve">     Discounts and Markdowns                           </v>
      </c>
      <c r="C130" s="14"/>
      <c r="D130" s="1">
        <f>SUM(OSRRefD22_6x_0)</f>
        <v>0</v>
      </c>
      <c r="E130" s="1"/>
      <c r="F130" s="5">
        <f t="shared" ref="F130:F134" si="45">IF(D$12=0,0,D130/D$12)</f>
        <v>0</v>
      </c>
      <c r="G130" s="1"/>
      <c r="H130" s="1">
        <f>SUM(OSRRefH22_6x_0)</f>
        <v>33948</v>
      </c>
      <c r="I130" s="1"/>
      <c r="J130" s="5">
        <f t="shared" ref="J130:J134" si="46">IF(H$12=0,0,H130/H$12)</f>
        <v>1.7028593671310224E-2</v>
      </c>
      <c r="K130" s="1"/>
      <c r="L130" s="1">
        <f t="shared" ref="L130:L134" si="47">+D130-H130</f>
        <v>-33948</v>
      </c>
      <c r="M130" s="1"/>
      <c r="N130" s="5">
        <f t="shared" ref="N130:N134" si="48">IF(H130=0,0,L130/H130)</f>
        <v>-1</v>
      </c>
      <c r="O130" s="14"/>
      <c r="P130" s="1">
        <f>SUM(OSRRefP22_6x_0)</f>
        <v>0</v>
      </c>
      <c r="Q130" s="1"/>
      <c r="R130" s="5">
        <f t="shared" ref="R130:R134" si="49">IF(P$12=0,0,P130/P$12)</f>
        <v>0</v>
      </c>
      <c r="S130" s="1"/>
      <c r="T130" s="1">
        <f>SUM(OSRRefT22_6x_0)</f>
        <v>53467</v>
      </c>
      <c r="U130" s="1"/>
      <c r="V130" s="5">
        <f t="shared" ref="V130:V134" si="50">IF(T$12=0,0,T130/T$12)</f>
        <v>2.3291291652345662E-2</v>
      </c>
      <c r="W130" s="1"/>
      <c r="X130" s="1">
        <f t="shared" ref="X130:X134" si="51">+P130-T130</f>
        <v>-53467</v>
      </c>
      <c r="Y130" s="1"/>
      <c r="Z130" s="5">
        <f t="shared" ref="Z130:Z134" si="52">IF(T130=0,0,X130/T130)</f>
        <v>-1</v>
      </c>
    </row>
    <row r="131" spans="1:26" s="24" customFormat="1" hidden="1" outlineLevel="2" x14ac:dyDescent="0.25">
      <c r="A131" s="27"/>
      <c r="B131" s="11" t="str">
        <f>CONCATENATE("          ", "6382", " - ", "DISCOUNTS/MARK DOWNS")</f>
        <v xml:space="preserve">          6382 - DISCOUNTS/MARK DOWNS</v>
      </c>
      <c r="C131" s="11"/>
      <c r="D131" s="6"/>
      <c r="E131" s="2"/>
      <c r="F131" s="7">
        <f t="shared" si="45"/>
        <v>0</v>
      </c>
      <c r="G131" s="2"/>
      <c r="H131" s="6">
        <v>33948</v>
      </c>
      <c r="I131" s="2"/>
      <c r="J131" s="7">
        <f t="shared" si="46"/>
        <v>1.7028593671310224E-2</v>
      </c>
      <c r="K131" s="2"/>
      <c r="L131" s="6">
        <f t="shared" si="47"/>
        <v>-33948</v>
      </c>
      <c r="M131" s="2"/>
      <c r="N131" s="7">
        <f t="shared" si="48"/>
        <v>-1</v>
      </c>
      <c r="O131" s="11"/>
      <c r="P131" s="6"/>
      <c r="Q131" s="2"/>
      <c r="R131" s="7">
        <f t="shared" si="49"/>
        <v>0</v>
      </c>
      <c r="S131" s="2"/>
      <c r="T131" s="6">
        <v>53467</v>
      </c>
      <c r="U131" s="2"/>
      <c r="V131" s="7">
        <f t="shared" si="50"/>
        <v>2.3291291652345662E-2</v>
      </c>
      <c r="W131" s="2"/>
      <c r="X131" s="6">
        <f t="shared" si="51"/>
        <v>-53467</v>
      </c>
      <c r="Y131" s="2"/>
      <c r="Z131" s="7">
        <f t="shared" si="52"/>
        <v>-1</v>
      </c>
    </row>
    <row r="132" spans="1:26" s="29" customFormat="1" outlineLevel="1" collapsed="1" x14ac:dyDescent="0.25">
      <c r="A132" s="28"/>
      <c r="B132" s="14" t="str">
        <f>CONCATENATE("     ","Donations                                         ")</f>
        <v xml:space="preserve">     Donations                                         </v>
      </c>
      <c r="C132" s="14"/>
      <c r="D132" s="1">
        <f>SUM(OSRRefD22_7x_0)</f>
        <v>0</v>
      </c>
      <c r="E132" s="1"/>
      <c r="F132" s="5">
        <f t="shared" si="45"/>
        <v>0</v>
      </c>
      <c r="G132" s="1"/>
      <c r="H132" s="1">
        <f>SUM(OSRRefH22_7x_0)</f>
        <v>1000</v>
      </c>
      <c r="I132" s="1"/>
      <c r="J132" s="5">
        <f t="shared" si="46"/>
        <v>5.0160815574732602E-4</v>
      </c>
      <c r="K132" s="1"/>
      <c r="L132" s="1">
        <f t="shared" si="47"/>
        <v>-1000</v>
      </c>
      <c r="M132" s="1"/>
      <c r="N132" s="5">
        <f t="shared" si="48"/>
        <v>-1</v>
      </c>
      <c r="O132" s="14"/>
      <c r="P132" s="1">
        <f>SUM(OSRRefP22_7x_0)</f>
        <v>0</v>
      </c>
      <c r="Q132" s="1"/>
      <c r="R132" s="5">
        <f t="shared" si="49"/>
        <v>0</v>
      </c>
      <c r="S132" s="1"/>
      <c r="T132" s="1">
        <f>SUM(OSRRefT22_7x_0)</f>
        <v>2000</v>
      </c>
      <c r="U132" s="1"/>
      <c r="V132" s="5">
        <f t="shared" si="50"/>
        <v>8.7123989198367822E-4</v>
      </c>
      <c r="W132" s="1"/>
      <c r="X132" s="1">
        <f t="shared" si="51"/>
        <v>-2000</v>
      </c>
      <c r="Y132" s="1"/>
      <c r="Z132" s="5">
        <f t="shared" si="52"/>
        <v>-1</v>
      </c>
    </row>
    <row r="133" spans="1:26" s="24" customFormat="1" hidden="1" outlineLevel="2" x14ac:dyDescent="0.25">
      <c r="A133" s="27"/>
      <c r="B133" s="11" t="str">
        <f>CONCATENATE("          ", "6395", " - ", "DONATION-OFF CAMPUS")</f>
        <v xml:space="preserve">          6395 - DONATION-OFF CAMPUS</v>
      </c>
      <c r="C133" s="11"/>
      <c r="D133" s="6"/>
      <c r="E133" s="2"/>
      <c r="F133" s="7">
        <f t="shared" si="45"/>
        <v>0</v>
      </c>
      <c r="G133" s="2"/>
      <c r="H133" s="6"/>
      <c r="I133" s="2"/>
      <c r="J133" s="7">
        <f t="shared" si="46"/>
        <v>0</v>
      </c>
      <c r="K133" s="2"/>
      <c r="L133" s="6">
        <f t="shared" si="47"/>
        <v>0</v>
      </c>
      <c r="M133" s="2"/>
      <c r="N133" s="7">
        <f t="shared" si="48"/>
        <v>0</v>
      </c>
      <c r="O133" s="11"/>
      <c r="P133" s="6"/>
      <c r="Q133" s="2"/>
      <c r="R133" s="7">
        <f t="shared" si="49"/>
        <v>0</v>
      </c>
      <c r="S133" s="2"/>
      <c r="T133" s="6">
        <v>0</v>
      </c>
      <c r="U133" s="2"/>
      <c r="V133" s="7">
        <f t="shared" si="50"/>
        <v>0</v>
      </c>
      <c r="W133" s="2"/>
      <c r="X133" s="6">
        <f t="shared" si="51"/>
        <v>0</v>
      </c>
      <c r="Y133" s="2"/>
      <c r="Z133" s="7">
        <f t="shared" si="52"/>
        <v>0</v>
      </c>
    </row>
    <row r="134" spans="1:26" s="24" customFormat="1" hidden="1" outlineLevel="2" x14ac:dyDescent="0.25">
      <c r="A134" s="27"/>
      <c r="B134" s="11" t="str">
        <f>CONCATENATE("          ", "6399", " - ", "DONATION-ON CAMPUS")</f>
        <v xml:space="preserve">          6399 - DONATION-ON CAMPUS</v>
      </c>
      <c r="C134" s="11"/>
      <c r="D134" s="6"/>
      <c r="E134" s="2"/>
      <c r="F134" s="7">
        <f t="shared" si="45"/>
        <v>0</v>
      </c>
      <c r="G134" s="2"/>
      <c r="H134" s="6">
        <v>1000</v>
      </c>
      <c r="I134" s="2"/>
      <c r="J134" s="7">
        <f t="shared" si="46"/>
        <v>5.0160815574732602E-4</v>
      </c>
      <c r="K134" s="2"/>
      <c r="L134" s="6">
        <f t="shared" si="47"/>
        <v>-1000</v>
      </c>
      <c r="M134" s="2"/>
      <c r="N134" s="7">
        <f t="shared" si="48"/>
        <v>-1</v>
      </c>
      <c r="O134" s="11"/>
      <c r="P134" s="6"/>
      <c r="Q134" s="2"/>
      <c r="R134" s="7">
        <f t="shared" si="49"/>
        <v>0</v>
      </c>
      <c r="S134" s="2"/>
      <c r="T134" s="6">
        <v>2000</v>
      </c>
      <c r="U134" s="2"/>
      <c r="V134" s="7">
        <f t="shared" si="50"/>
        <v>8.7123989198367822E-4</v>
      </c>
      <c r="W134" s="2"/>
      <c r="X134" s="6">
        <f t="shared" si="51"/>
        <v>-2000</v>
      </c>
      <c r="Y134" s="2"/>
      <c r="Z134" s="7">
        <f t="shared" si="52"/>
        <v>-1</v>
      </c>
    </row>
    <row r="135" spans="1:26" s="29" customFormat="1" outlineLevel="1" collapsed="1" x14ac:dyDescent="0.25">
      <c r="A135" s="28"/>
      <c r="B135" s="14" t="str">
        <f>CONCATENATE("     ","Employees' Appreciation                           ")</f>
        <v xml:space="preserve">     Employees' Appreciation                           </v>
      </c>
      <c r="C135" s="14"/>
      <c r="D135" s="1">
        <f>SUM(OSRRefD22_8x_0)</f>
        <v>0</v>
      </c>
      <c r="E135" s="1"/>
      <c r="F135" s="5">
        <f t="shared" ref="F135:F141" si="53">IF(D$12=0,0,D135/D$12)</f>
        <v>0</v>
      </c>
      <c r="G135" s="1"/>
      <c r="H135" s="1">
        <f>SUM(OSRRefH22_8x_0)</f>
        <v>425</v>
      </c>
      <c r="I135" s="1"/>
      <c r="J135" s="5">
        <f t="shared" ref="J135:J141" si="54">IF(H$12=0,0,H135/H$12)</f>
        <v>2.1318346619261355E-4</v>
      </c>
      <c r="K135" s="1"/>
      <c r="L135" s="1">
        <f t="shared" ref="L135:L141" si="55">+D135-H135</f>
        <v>-425</v>
      </c>
      <c r="M135" s="1"/>
      <c r="N135" s="5">
        <f t="shared" ref="N135:N141" si="56">IF(H135=0,0,L135/H135)</f>
        <v>-1</v>
      </c>
      <c r="O135" s="14"/>
      <c r="P135" s="1">
        <f>SUM(OSRRefP22_8x_0)</f>
        <v>107.7</v>
      </c>
      <c r="Q135" s="1"/>
      <c r="R135" s="5">
        <f t="shared" ref="R135:R141" si="57">IF(P$12=0,0,P135/P$12)</f>
        <v>5.9021578091663694E-5</v>
      </c>
      <c r="S135" s="1"/>
      <c r="T135" s="1">
        <f>SUM(OSRRefT22_8x_0)</f>
        <v>850</v>
      </c>
      <c r="U135" s="1"/>
      <c r="V135" s="5">
        <f t="shared" ref="V135:V141" si="58">IF(T$12=0,0,T135/T$12)</f>
        <v>3.7027695409306324E-4</v>
      </c>
      <c r="W135" s="1"/>
      <c r="X135" s="1">
        <f t="shared" ref="X135:X141" si="59">+P135-T135</f>
        <v>-742.3</v>
      </c>
      <c r="Y135" s="1"/>
      <c r="Z135" s="5">
        <f t="shared" ref="Z135:Z141" si="60">IF(T135=0,0,X135/T135)</f>
        <v>-0.87329411764705878</v>
      </c>
    </row>
    <row r="136" spans="1:26" s="24" customFormat="1" hidden="1" outlineLevel="2" x14ac:dyDescent="0.25">
      <c r="A136" s="27"/>
      <c r="B136" s="11" t="str">
        <f>CONCATENATE("          ", "6277", " - ", "EMPLOYEE APPRECIATION")</f>
        <v xml:space="preserve">          6277 - EMPLOYEE APPRECIATION</v>
      </c>
      <c r="C136" s="11"/>
      <c r="D136" s="6"/>
      <c r="E136" s="2"/>
      <c r="F136" s="7">
        <f t="shared" si="53"/>
        <v>0</v>
      </c>
      <c r="G136" s="2"/>
      <c r="H136" s="6">
        <v>425</v>
      </c>
      <c r="I136" s="2"/>
      <c r="J136" s="7">
        <f t="shared" si="54"/>
        <v>2.1318346619261355E-4</v>
      </c>
      <c r="K136" s="2"/>
      <c r="L136" s="6">
        <f t="shared" si="55"/>
        <v>-425</v>
      </c>
      <c r="M136" s="2"/>
      <c r="N136" s="7">
        <f t="shared" si="56"/>
        <v>-1</v>
      </c>
      <c r="O136" s="11"/>
      <c r="P136" s="6">
        <v>107.7</v>
      </c>
      <c r="Q136" s="2"/>
      <c r="R136" s="7">
        <f t="shared" si="57"/>
        <v>5.9021578091663694E-5</v>
      </c>
      <c r="S136" s="2"/>
      <c r="T136" s="6">
        <v>850</v>
      </c>
      <c r="U136" s="2"/>
      <c r="V136" s="7">
        <f t="shared" si="58"/>
        <v>3.7027695409306324E-4</v>
      </c>
      <c r="W136" s="2"/>
      <c r="X136" s="6">
        <f t="shared" si="59"/>
        <v>-742.3</v>
      </c>
      <c r="Y136" s="2"/>
      <c r="Z136" s="7">
        <f t="shared" si="60"/>
        <v>-0.87329411764705878</v>
      </c>
    </row>
    <row r="137" spans="1:26" s="29" customFormat="1" outlineLevel="1" collapsed="1" x14ac:dyDescent="0.25">
      <c r="A137" s="28"/>
      <c r="B137" s="14" t="str">
        <f>CONCATENATE("     ","Equipment Rental                                  ")</f>
        <v xml:space="preserve">     Equipment Rental                                  </v>
      </c>
      <c r="C137" s="14"/>
      <c r="D137" s="1">
        <f>SUM(OSRRefD22_9x_0)</f>
        <v>1388.16</v>
      </c>
      <c r="E137" s="1"/>
      <c r="F137" s="5">
        <f t="shared" si="53"/>
        <v>8.6918130698417941E-4</v>
      </c>
      <c r="G137" s="1"/>
      <c r="H137" s="1">
        <f>SUM(OSRRefH22_9x_0)</f>
        <v>3006</v>
      </c>
      <c r="I137" s="1"/>
      <c r="J137" s="5">
        <f t="shared" si="54"/>
        <v>1.5078341161764619E-3</v>
      </c>
      <c r="K137" s="1"/>
      <c r="L137" s="1">
        <f t="shared" si="55"/>
        <v>-1617.84</v>
      </c>
      <c r="M137" s="1"/>
      <c r="N137" s="5">
        <f t="shared" si="56"/>
        <v>-0.53820359281437125</v>
      </c>
      <c r="O137" s="14"/>
      <c r="P137" s="1">
        <f>SUM(OSRRefP22_9x_0)</f>
        <v>2776.32</v>
      </c>
      <c r="Q137" s="1"/>
      <c r="R137" s="5">
        <f t="shared" si="57"/>
        <v>1.521474351786887E-3</v>
      </c>
      <c r="S137" s="1"/>
      <c r="T137" s="1">
        <f>SUM(OSRRefT22_9x_0)</f>
        <v>6012</v>
      </c>
      <c r="U137" s="1"/>
      <c r="V137" s="5">
        <f t="shared" si="58"/>
        <v>2.6189471153029368E-3</v>
      </c>
      <c r="W137" s="1"/>
      <c r="X137" s="1">
        <f t="shared" si="59"/>
        <v>-3235.68</v>
      </c>
      <c r="Y137" s="1"/>
      <c r="Z137" s="5">
        <f t="shared" si="60"/>
        <v>-0.53820359281437125</v>
      </c>
    </row>
    <row r="138" spans="1:26" s="24" customFormat="1" hidden="1" outlineLevel="2" x14ac:dyDescent="0.25">
      <c r="A138" s="27"/>
      <c r="B138" s="11" t="str">
        <f>CONCATENATE("          ", "6351", " - ", "EQUIPMENT RENTAL")</f>
        <v xml:space="preserve">          6351 - EQUIPMENT RENTAL</v>
      </c>
      <c r="C138" s="11"/>
      <c r="D138" s="6">
        <v>1388.16</v>
      </c>
      <c r="E138" s="2"/>
      <c r="F138" s="7">
        <f t="shared" si="53"/>
        <v>8.6918130698417941E-4</v>
      </c>
      <c r="G138" s="2"/>
      <c r="H138" s="6">
        <v>3006</v>
      </c>
      <c r="I138" s="2"/>
      <c r="J138" s="7">
        <f t="shared" si="54"/>
        <v>1.5078341161764619E-3</v>
      </c>
      <c r="K138" s="2"/>
      <c r="L138" s="6">
        <f t="shared" si="55"/>
        <v>-1617.84</v>
      </c>
      <c r="M138" s="2"/>
      <c r="N138" s="7">
        <f t="shared" si="56"/>
        <v>-0.53820359281437125</v>
      </c>
      <c r="O138" s="11"/>
      <c r="P138" s="6">
        <v>2776.32</v>
      </c>
      <c r="Q138" s="2"/>
      <c r="R138" s="7">
        <f t="shared" si="57"/>
        <v>1.521474351786887E-3</v>
      </c>
      <c r="S138" s="2"/>
      <c r="T138" s="6">
        <v>6012</v>
      </c>
      <c r="U138" s="2"/>
      <c r="V138" s="7">
        <f t="shared" si="58"/>
        <v>2.6189471153029368E-3</v>
      </c>
      <c r="W138" s="2"/>
      <c r="X138" s="6">
        <f t="shared" si="59"/>
        <v>-3235.68</v>
      </c>
      <c r="Y138" s="2"/>
      <c r="Z138" s="7">
        <f t="shared" si="60"/>
        <v>-0.53820359281437125</v>
      </c>
    </row>
    <row r="139" spans="1:26" s="29" customFormat="1" outlineLevel="1" collapsed="1" x14ac:dyDescent="0.25">
      <c r="A139" s="28"/>
      <c r="B139" s="14" t="str">
        <f>CONCATENATE("     ","Freight out/Postage                               ")</f>
        <v xml:space="preserve">     Freight out/Postage                               </v>
      </c>
      <c r="C139" s="14"/>
      <c r="D139" s="1">
        <f>SUM(OSRRefD22_10x_0)</f>
        <v>-83740.51999999999</v>
      </c>
      <c r="E139" s="1"/>
      <c r="F139" s="5">
        <f t="shared" si="53"/>
        <v>-5.2433217079540399E-2</v>
      </c>
      <c r="G139" s="1"/>
      <c r="H139" s="1">
        <f>SUM(OSRRefH22_10x_0)</f>
        <v>11135</v>
      </c>
      <c r="I139" s="1"/>
      <c r="J139" s="5">
        <f t="shared" si="54"/>
        <v>5.5854068142464752E-3</v>
      </c>
      <c r="K139" s="1"/>
      <c r="L139" s="1">
        <f t="shared" si="55"/>
        <v>-94875.51999999999</v>
      </c>
      <c r="M139" s="1"/>
      <c r="N139" s="5">
        <f t="shared" si="56"/>
        <v>-8.520477772788503</v>
      </c>
      <c r="O139" s="14"/>
      <c r="P139" s="1">
        <f>SUM(OSRRefP22_10x_0)</f>
        <v>-74811.87</v>
      </c>
      <c r="Q139" s="1"/>
      <c r="R139" s="5">
        <f t="shared" si="57"/>
        <v>-4.0998278805834648E-2</v>
      </c>
      <c r="S139" s="1"/>
      <c r="T139" s="1">
        <f>SUM(OSRRefT22_10x_0)</f>
        <v>16155</v>
      </c>
      <c r="U139" s="1"/>
      <c r="V139" s="5">
        <f t="shared" si="58"/>
        <v>7.0374402274981608E-3</v>
      </c>
      <c r="W139" s="1"/>
      <c r="X139" s="1">
        <f t="shared" si="59"/>
        <v>-90966.87</v>
      </c>
      <c r="Y139" s="1"/>
      <c r="Z139" s="5">
        <f t="shared" si="60"/>
        <v>-5.6308802228412249</v>
      </c>
    </row>
    <row r="140" spans="1:26" s="24" customFormat="1" hidden="1" outlineLevel="2" x14ac:dyDescent="0.25">
      <c r="A140" s="27"/>
      <c r="B140" s="11" t="str">
        <f>CONCATENATE("          ", "6305", " - ", "FREIGHT OUT")</f>
        <v xml:space="preserve">          6305 - FREIGHT OUT</v>
      </c>
      <c r="C140" s="11"/>
      <c r="D140" s="6">
        <v>8240.52</v>
      </c>
      <c r="E140" s="2"/>
      <c r="F140" s="7">
        <f t="shared" si="53"/>
        <v>5.1597120964652987E-3</v>
      </c>
      <c r="G140" s="2"/>
      <c r="H140" s="6">
        <v>3615</v>
      </c>
      <c r="I140" s="2"/>
      <c r="J140" s="7">
        <f t="shared" si="54"/>
        <v>1.8133134830265833E-3</v>
      </c>
      <c r="K140" s="2"/>
      <c r="L140" s="6">
        <f t="shared" si="55"/>
        <v>4625.5200000000004</v>
      </c>
      <c r="M140" s="2"/>
      <c r="N140" s="7">
        <f t="shared" si="56"/>
        <v>1.2795352697095437</v>
      </c>
      <c r="O140" s="11"/>
      <c r="P140" s="6">
        <v>20329.609999999997</v>
      </c>
      <c r="Q140" s="2"/>
      <c r="R140" s="7">
        <f t="shared" si="57"/>
        <v>1.1140999667484372E-2</v>
      </c>
      <c r="S140" s="2"/>
      <c r="T140" s="6">
        <v>5115</v>
      </c>
      <c r="U140" s="2"/>
      <c r="V140" s="7">
        <f t="shared" si="58"/>
        <v>2.2281960237482568E-3</v>
      </c>
      <c r="W140" s="2"/>
      <c r="X140" s="6">
        <f t="shared" si="59"/>
        <v>15214.609999999997</v>
      </c>
      <c r="Y140" s="2"/>
      <c r="Z140" s="7">
        <f t="shared" si="60"/>
        <v>2.974508308895405</v>
      </c>
    </row>
    <row r="141" spans="1:26" s="24" customFormat="1" hidden="1" outlineLevel="2" x14ac:dyDescent="0.25">
      <c r="A141" s="27"/>
      <c r="B141" s="11" t="str">
        <f>CONCATENATE("          ", "6307", " - ", "POSTAGE")</f>
        <v xml:space="preserve">          6307 - POSTAGE</v>
      </c>
      <c r="C141" s="11"/>
      <c r="D141" s="6">
        <v>-91981.04</v>
      </c>
      <c r="E141" s="2"/>
      <c r="F141" s="7">
        <f t="shared" si="53"/>
        <v>-5.7592929176005697E-2</v>
      </c>
      <c r="G141" s="2"/>
      <c r="H141" s="6">
        <v>7520</v>
      </c>
      <c r="I141" s="2"/>
      <c r="J141" s="7">
        <f t="shared" si="54"/>
        <v>3.7720933312198916E-3</v>
      </c>
      <c r="K141" s="2"/>
      <c r="L141" s="6">
        <f t="shared" si="55"/>
        <v>-99501.04</v>
      </c>
      <c r="M141" s="2"/>
      <c r="N141" s="7">
        <f t="shared" si="56"/>
        <v>-13.231521276595744</v>
      </c>
      <c r="O141" s="11"/>
      <c r="P141" s="6">
        <v>-95141.48</v>
      </c>
      <c r="Q141" s="2"/>
      <c r="R141" s="7">
        <f t="shared" si="57"/>
        <v>-5.213927847331902E-2</v>
      </c>
      <c r="S141" s="2"/>
      <c r="T141" s="6">
        <v>11040</v>
      </c>
      <c r="U141" s="2"/>
      <c r="V141" s="7">
        <f t="shared" si="58"/>
        <v>4.8092442037499039E-3</v>
      </c>
      <c r="W141" s="2"/>
      <c r="X141" s="6">
        <f t="shared" si="59"/>
        <v>-106181.48</v>
      </c>
      <c r="Y141" s="2"/>
      <c r="Z141" s="7">
        <f t="shared" si="60"/>
        <v>-9.6178876811594201</v>
      </c>
    </row>
    <row r="142" spans="1:26" s="29" customFormat="1" outlineLevel="1" collapsed="1" x14ac:dyDescent="0.25">
      <c r="A142" s="28"/>
      <c r="B142" s="14" t="str">
        <f>CONCATENATE("     ","General                                           ")</f>
        <v xml:space="preserve">     General                                           </v>
      </c>
      <c r="C142" s="14"/>
      <c r="D142" s="1">
        <f>SUM(OSRRefD22_11x_0)</f>
        <v>113.26</v>
      </c>
      <c r="E142" s="1"/>
      <c r="F142" s="5">
        <f t="shared" ref="F142:F145" si="61">IF(D$12=0,0,D142/D$12)</f>
        <v>7.0916518866001146E-5</v>
      </c>
      <c r="G142" s="1"/>
      <c r="H142" s="1">
        <f>SUM(OSRRefH22_11x_0)</f>
        <v>625</v>
      </c>
      <c r="I142" s="1"/>
      <c r="J142" s="5">
        <f t="shared" ref="J142:J145" si="62">IF(H$12=0,0,H142/H$12)</f>
        <v>3.1350509734207873E-4</v>
      </c>
      <c r="K142" s="1"/>
      <c r="L142" s="1">
        <f t="shared" ref="L142:L145" si="63">+D142-H142</f>
        <v>-511.74</v>
      </c>
      <c r="M142" s="1"/>
      <c r="N142" s="5">
        <f t="shared" ref="N142:N145" si="64">IF(H142=0,0,L142/H142)</f>
        <v>-0.81878400000000007</v>
      </c>
      <c r="O142" s="14"/>
      <c r="P142" s="1">
        <f>SUM(OSRRefP22_11x_0)</f>
        <v>-3206.83</v>
      </c>
      <c r="Q142" s="1"/>
      <c r="R142" s="5">
        <f t="shared" ref="R142:R145" si="65">IF(P$12=0,0,P142/P$12)</f>
        <v>-1.7574017388272039E-3</v>
      </c>
      <c r="S142" s="1"/>
      <c r="T142" s="1">
        <f>SUM(OSRRefT22_11x_0)</f>
        <v>2275</v>
      </c>
      <c r="U142" s="1"/>
      <c r="V142" s="5">
        <f t="shared" ref="V142:V145" si="66">IF(T$12=0,0,T142/T$12)</f>
        <v>9.9103537713143386E-4</v>
      </c>
      <c r="W142" s="1"/>
      <c r="X142" s="1">
        <f t="shared" ref="X142:X145" si="67">+P142-T142</f>
        <v>-5481.83</v>
      </c>
      <c r="Y142" s="1"/>
      <c r="Z142" s="5">
        <f t="shared" ref="Z142:Z145" si="68">IF(T142=0,0,X142/T142)</f>
        <v>-2.4095956043956042</v>
      </c>
    </row>
    <row r="143" spans="1:26" s="24" customFormat="1" hidden="1" outlineLevel="2" x14ac:dyDescent="0.25">
      <c r="A143" s="27"/>
      <c r="B143" s="11" t="str">
        <f>CONCATENATE("          ", "6269", " - ", "ENTERTAINMENT")</f>
        <v xml:space="preserve">          6269 - ENTERTAINMENT</v>
      </c>
      <c r="C143" s="11"/>
      <c r="D143" s="6"/>
      <c r="E143" s="2"/>
      <c r="F143" s="7">
        <f t="shared" si="61"/>
        <v>0</v>
      </c>
      <c r="G143" s="2"/>
      <c r="H143" s="6">
        <v>125</v>
      </c>
      <c r="I143" s="2"/>
      <c r="J143" s="7">
        <f t="shared" si="62"/>
        <v>6.2701019468415752E-5</v>
      </c>
      <c r="K143" s="2"/>
      <c r="L143" s="6">
        <f t="shared" si="63"/>
        <v>-125</v>
      </c>
      <c r="M143" s="2"/>
      <c r="N143" s="7">
        <f t="shared" si="64"/>
        <v>-1</v>
      </c>
      <c r="O143" s="11"/>
      <c r="P143" s="6"/>
      <c r="Q143" s="2"/>
      <c r="R143" s="7">
        <f t="shared" si="65"/>
        <v>0</v>
      </c>
      <c r="S143" s="2"/>
      <c r="T143" s="6">
        <v>125</v>
      </c>
      <c r="U143" s="2"/>
      <c r="V143" s="7">
        <f t="shared" si="66"/>
        <v>5.4452493248979888E-5</v>
      </c>
      <c r="W143" s="2"/>
      <c r="X143" s="6">
        <f t="shared" si="67"/>
        <v>-125</v>
      </c>
      <c r="Y143" s="2"/>
      <c r="Z143" s="7">
        <f t="shared" si="68"/>
        <v>-1</v>
      </c>
    </row>
    <row r="144" spans="1:26" s="24" customFormat="1" hidden="1" outlineLevel="2" x14ac:dyDescent="0.25">
      <c r="A144" s="27"/>
      <c r="B144" s="11" t="str">
        <f>CONCATENATE("          ", "6276", " - ", "PROPERTY TAX")</f>
        <v xml:space="preserve">          6276 - PROPERTY TAX</v>
      </c>
      <c r="C144" s="11"/>
      <c r="D144" s="6"/>
      <c r="E144" s="2"/>
      <c r="F144" s="7">
        <f t="shared" si="61"/>
        <v>0</v>
      </c>
      <c r="G144" s="2"/>
      <c r="H144" s="6"/>
      <c r="I144" s="2"/>
      <c r="J144" s="7">
        <f t="shared" si="62"/>
        <v>0</v>
      </c>
      <c r="K144" s="2"/>
      <c r="L144" s="6">
        <f t="shared" si="63"/>
        <v>0</v>
      </c>
      <c r="M144" s="2"/>
      <c r="N144" s="7">
        <f t="shared" si="64"/>
        <v>0</v>
      </c>
      <c r="O144" s="11"/>
      <c r="P144" s="6"/>
      <c r="Q144" s="2"/>
      <c r="R144" s="7">
        <f t="shared" si="65"/>
        <v>0</v>
      </c>
      <c r="S144" s="2"/>
      <c r="T144" s="6">
        <v>150</v>
      </c>
      <c r="U144" s="2"/>
      <c r="V144" s="7">
        <f t="shared" si="66"/>
        <v>6.5342991898775869E-5</v>
      </c>
      <c r="W144" s="2"/>
      <c r="X144" s="6">
        <f t="shared" si="67"/>
        <v>-150</v>
      </c>
      <c r="Y144" s="2"/>
      <c r="Z144" s="7">
        <f t="shared" si="68"/>
        <v>-1</v>
      </c>
    </row>
    <row r="145" spans="1:26" s="24" customFormat="1" hidden="1" outlineLevel="2" x14ac:dyDescent="0.25">
      <c r="A145" s="27"/>
      <c r="B145" s="11" t="str">
        <f>CONCATENATE("          ", "6279", " - ", "GENERAL EXPENSE")</f>
        <v xml:space="preserve">          6279 - GENERAL EXPENSE</v>
      </c>
      <c r="C145" s="11"/>
      <c r="D145" s="6">
        <v>113.26</v>
      </c>
      <c r="E145" s="2"/>
      <c r="F145" s="7">
        <f t="shared" si="61"/>
        <v>7.0916518866001146E-5</v>
      </c>
      <c r="G145" s="2"/>
      <c r="H145" s="6">
        <v>500</v>
      </c>
      <c r="I145" s="2"/>
      <c r="J145" s="7">
        <f t="shared" si="62"/>
        <v>2.5080407787366301E-4</v>
      </c>
      <c r="K145" s="2"/>
      <c r="L145" s="6">
        <f t="shared" si="63"/>
        <v>-386.74</v>
      </c>
      <c r="M145" s="2"/>
      <c r="N145" s="7">
        <f t="shared" si="64"/>
        <v>-0.77348000000000006</v>
      </c>
      <c r="O145" s="11"/>
      <c r="P145" s="6">
        <v>-3206.83</v>
      </c>
      <c r="Q145" s="2"/>
      <c r="R145" s="7">
        <f t="shared" si="65"/>
        <v>-1.7574017388272039E-3</v>
      </c>
      <c r="S145" s="2"/>
      <c r="T145" s="6">
        <v>2000</v>
      </c>
      <c r="U145" s="2"/>
      <c r="V145" s="7">
        <f t="shared" si="66"/>
        <v>8.7123989198367822E-4</v>
      </c>
      <c r="W145" s="2"/>
      <c r="X145" s="6">
        <f t="shared" si="67"/>
        <v>-5206.83</v>
      </c>
      <c r="Y145" s="2"/>
      <c r="Z145" s="7">
        <f t="shared" si="68"/>
        <v>-2.603415</v>
      </c>
    </row>
    <row r="146" spans="1:26" s="29" customFormat="1" outlineLevel="1" collapsed="1" x14ac:dyDescent="0.25">
      <c r="A146" s="28"/>
      <c r="B146" s="14" t="str">
        <f>CONCATENATE("     ","Insurance                                         ")</f>
        <v xml:space="preserve">     Insurance                                         </v>
      </c>
      <c r="C146" s="14"/>
      <c r="D146" s="1">
        <f>SUM(OSRRefD22_12x_0)</f>
        <v>4044.74</v>
      </c>
      <c r="E146" s="1"/>
      <c r="F146" s="5">
        <f t="shared" ref="F146:F158" si="69">IF(D$12=0,0,D146/D$12)</f>
        <v>2.5325700204667971E-3</v>
      </c>
      <c r="G146" s="1"/>
      <c r="H146" s="1">
        <f>SUM(OSRRefH22_12x_0)</f>
        <v>4446</v>
      </c>
      <c r="I146" s="1"/>
      <c r="J146" s="5">
        <f t="shared" ref="J146:J158" si="70">IF(H$12=0,0,H146/H$12)</f>
        <v>2.2301498604526114E-3</v>
      </c>
      <c r="K146" s="1"/>
      <c r="L146" s="1">
        <f t="shared" ref="L146:L158" si="71">+D146-H146</f>
        <v>-401.26000000000022</v>
      </c>
      <c r="M146" s="1"/>
      <c r="N146" s="5">
        <f t="shared" ref="N146:N158" si="72">IF(H146=0,0,L146/H146)</f>
        <v>-9.0251911830859247E-2</v>
      </c>
      <c r="O146" s="14"/>
      <c r="P146" s="1">
        <f>SUM(OSRRefP22_12x_0)</f>
        <v>8089.48</v>
      </c>
      <c r="Q146" s="1"/>
      <c r="R146" s="5">
        <f t="shared" ref="R146:R158" si="73">IF(P$12=0,0,P146/P$12)</f>
        <v>4.4331836169076285E-3</v>
      </c>
      <c r="S146" s="1"/>
      <c r="T146" s="1">
        <f>SUM(OSRRefT22_12x_0)</f>
        <v>8892</v>
      </c>
      <c r="U146" s="1"/>
      <c r="V146" s="5">
        <f t="shared" ref="V146:V158" si="74">IF(T$12=0,0,T146/T$12)</f>
        <v>3.8735325597594331E-3</v>
      </c>
      <c r="W146" s="1"/>
      <c r="X146" s="1">
        <f t="shared" ref="X146:X158" si="75">+P146-T146</f>
        <v>-802.52000000000044</v>
      </c>
      <c r="Y146" s="1"/>
      <c r="Z146" s="5">
        <f t="shared" ref="Z146:Z158" si="76">IF(T146=0,0,X146/T146)</f>
        <v>-9.0251911830859247E-2</v>
      </c>
    </row>
    <row r="147" spans="1:26" s="24" customFormat="1" hidden="1" outlineLevel="2" x14ac:dyDescent="0.25">
      <c r="A147" s="27"/>
      <c r="B147" s="11" t="str">
        <f>CONCATENATE("          ", "6314", " - ", "LIABILITY INSURANCE")</f>
        <v xml:space="preserve">          6314 - LIABILITY INSURANCE</v>
      </c>
      <c r="C147" s="11"/>
      <c r="D147" s="6">
        <v>4044.74</v>
      </c>
      <c r="E147" s="2"/>
      <c r="F147" s="7">
        <f t="shared" si="69"/>
        <v>2.5325700204667971E-3</v>
      </c>
      <c r="G147" s="2"/>
      <c r="H147" s="6">
        <v>4446</v>
      </c>
      <c r="I147" s="2"/>
      <c r="J147" s="7">
        <f t="shared" si="70"/>
        <v>2.2301498604526114E-3</v>
      </c>
      <c r="K147" s="2"/>
      <c r="L147" s="6">
        <f t="shared" si="71"/>
        <v>-401.26000000000022</v>
      </c>
      <c r="M147" s="2"/>
      <c r="N147" s="7">
        <f t="shared" si="72"/>
        <v>-9.0251911830859247E-2</v>
      </c>
      <c r="O147" s="11"/>
      <c r="P147" s="6">
        <v>8089.48</v>
      </c>
      <c r="Q147" s="2"/>
      <c r="R147" s="7">
        <f t="shared" si="73"/>
        <v>4.4331836169076285E-3</v>
      </c>
      <c r="S147" s="2"/>
      <c r="T147" s="6">
        <v>8892</v>
      </c>
      <c r="U147" s="2"/>
      <c r="V147" s="7">
        <f t="shared" si="74"/>
        <v>3.8735325597594331E-3</v>
      </c>
      <c r="W147" s="2"/>
      <c r="X147" s="6">
        <f t="shared" si="75"/>
        <v>-802.52000000000044</v>
      </c>
      <c r="Y147" s="2"/>
      <c r="Z147" s="7">
        <f t="shared" si="76"/>
        <v>-9.0251911830859247E-2</v>
      </c>
    </row>
    <row r="148" spans="1:26" s="29" customFormat="1" outlineLevel="1" collapsed="1" x14ac:dyDescent="0.25">
      <c r="A148" s="28"/>
      <c r="B148" s="14" t="str">
        <f>CONCATENATE("     ","Inventory Adjustment                              ")</f>
        <v xml:space="preserve">     Inventory Adjustment                              </v>
      </c>
      <c r="C148" s="14"/>
      <c r="D148" s="1">
        <f>SUM(OSRRefD22_13x_0)</f>
        <v>2100</v>
      </c>
      <c r="E148" s="1"/>
      <c r="F148" s="5">
        <f t="shared" si="69"/>
        <v>1.3148921915822215E-3</v>
      </c>
      <c r="G148" s="1"/>
      <c r="H148" s="1">
        <f>SUM(OSRRefH22_13x_0)</f>
        <v>3100</v>
      </c>
      <c r="I148" s="1"/>
      <c r="J148" s="5">
        <f t="shared" si="70"/>
        <v>1.5549852828167106E-3</v>
      </c>
      <c r="K148" s="1"/>
      <c r="L148" s="1">
        <f t="shared" si="71"/>
        <v>-1000</v>
      </c>
      <c r="M148" s="1"/>
      <c r="N148" s="5">
        <f t="shared" si="72"/>
        <v>-0.32258064516129031</v>
      </c>
      <c r="O148" s="14"/>
      <c r="P148" s="1">
        <f>SUM(OSRRefP22_13x_0)</f>
        <v>4200</v>
      </c>
      <c r="Q148" s="1"/>
      <c r="R148" s="5">
        <f t="shared" si="73"/>
        <v>2.3016771400648792E-3</v>
      </c>
      <c r="S148" s="1"/>
      <c r="T148" s="1">
        <f>SUM(OSRRefT22_13x_0)</f>
        <v>6200</v>
      </c>
      <c r="U148" s="1"/>
      <c r="V148" s="5">
        <f t="shared" si="74"/>
        <v>2.7008436651494022E-3</v>
      </c>
      <c r="W148" s="1"/>
      <c r="X148" s="1">
        <f t="shared" si="75"/>
        <v>-2000</v>
      </c>
      <c r="Y148" s="1"/>
      <c r="Z148" s="5">
        <f t="shared" si="76"/>
        <v>-0.32258064516129031</v>
      </c>
    </row>
    <row r="149" spans="1:26" s="24" customFormat="1" hidden="1" outlineLevel="2" x14ac:dyDescent="0.25">
      <c r="A149" s="27"/>
      <c r="B149" s="11" t="str">
        <f>CONCATENATE("          ", "6408", " - ", "INVENTORY ADJUSTMENT")</f>
        <v xml:space="preserve">          6408 - INVENTORY ADJUSTMENT</v>
      </c>
      <c r="C149" s="11"/>
      <c r="D149" s="6">
        <v>2100</v>
      </c>
      <c r="E149" s="2"/>
      <c r="F149" s="7">
        <f t="shared" si="69"/>
        <v>1.3148921915822215E-3</v>
      </c>
      <c r="G149" s="2"/>
      <c r="H149" s="6">
        <v>3100</v>
      </c>
      <c r="I149" s="2"/>
      <c r="J149" s="7">
        <f t="shared" si="70"/>
        <v>1.5549852828167106E-3</v>
      </c>
      <c r="K149" s="2"/>
      <c r="L149" s="6">
        <f t="shared" si="71"/>
        <v>-1000</v>
      </c>
      <c r="M149" s="2"/>
      <c r="N149" s="7">
        <f t="shared" si="72"/>
        <v>-0.32258064516129031</v>
      </c>
      <c r="O149" s="11"/>
      <c r="P149" s="6">
        <v>4200</v>
      </c>
      <c r="Q149" s="2"/>
      <c r="R149" s="7">
        <f t="shared" si="73"/>
        <v>2.3016771400648792E-3</v>
      </c>
      <c r="S149" s="2"/>
      <c r="T149" s="6">
        <v>6200</v>
      </c>
      <c r="U149" s="2"/>
      <c r="V149" s="7">
        <f t="shared" si="74"/>
        <v>2.7008436651494022E-3</v>
      </c>
      <c r="W149" s="2"/>
      <c r="X149" s="6">
        <f t="shared" si="75"/>
        <v>-2000</v>
      </c>
      <c r="Y149" s="2"/>
      <c r="Z149" s="7">
        <f t="shared" si="76"/>
        <v>-0.32258064516129031</v>
      </c>
    </row>
    <row r="150" spans="1:26" s="29" customFormat="1" outlineLevel="1" collapsed="1" x14ac:dyDescent="0.25">
      <c r="A150" s="28"/>
      <c r="B150" s="14" t="str">
        <f>CONCATENATE("     ","Professional Services                             ")</f>
        <v xml:space="preserve">     Professional Services                             </v>
      </c>
      <c r="C150" s="14"/>
      <c r="D150" s="1">
        <f>SUM(OSRRefD22_14x_0)</f>
        <v>0</v>
      </c>
      <c r="E150" s="1"/>
      <c r="F150" s="5">
        <f t="shared" si="69"/>
        <v>0</v>
      </c>
      <c r="G150" s="1"/>
      <c r="H150" s="1">
        <f>SUM(OSRRefH22_14x_0)</f>
        <v>0</v>
      </c>
      <c r="I150" s="1"/>
      <c r="J150" s="5">
        <f t="shared" si="70"/>
        <v>0</v>
      </c>
      <c r="K150" s="1"/>
      <c r="L150" s="1">
        <f t="shared" si="71"/>
        <v>0</v>
      </c>
      <c r="M150" s="1"/>
      <c r="N150" s="5">
        <f t="shared" si="72"/>
        <v>0</v>
      </c>
      <c r="O150" s="14"/>
      <c r="P150" s="1">
        <f>SUM(OSRRefP22_14x_0)</f>
        <v>0</v>
      </c>
      <c r="Q150" s="1"/>
      <c r="R150" s="5">
        <f t="shared" si="73"/>
        <v>0</v>
      </c>
      <c r="S150" s="1"/>
      <c r="T150" s="1">
        <f>SUM(OSRRefT22_14x_0)</f>
        <v>6550</v>
      </c>
      <c r="U150" s="1"/>
      <c r="V150" s="5">
        <f t="shared" si="74"/>
        <v>2.8533106462465463E-3</v>
      </c>
      <c r="W150" s="1"/>
      <c r="X150" s="1">
        <f t="shared" si="75"/>
        <v>-6550</v>
      </c>
      <c r="Y150" s="1"/>
      <c r="Z150" s="5">
        <f t="shared" si="76"/>
        <v>-1</v>
      </c>
    </row>
    <row r="151" spans="1:26" s="24" customFormat="1" hidden="1" outlineLevel="2" x14ac:dyDescent="0.25">
      <c r="A151" s="27"/>
      <c r="B151" s="11" t="str">
        <f>CONCATENATE("          ", "6336", " - ", "PROFESSIONAL SERVICES")</f>
        <v xml:space="preserve">          6336 - PROFESSIONAL SERVICES</v>
      </c>
      <c r="C151" s="11"/>
      <c r="D151" s="6"/>
      <c r="E151" s="2"/>
      <c r="F151" s="7">
        <f t="shared" si="69"/>
        <v>0</v>
      </c>
      <c r="G151" s="2"/>
      <c r="H151" s="6">
        <v>0</v>
      </c>
      <c r="I151" s="2"/>
      <c r="J151" s="7">
        <f t="shared" si="70"/>
        <v>0</v>
      </c>
      <c r="K151" s="2"/>
      <c r="L151" s="6">
        <f t="shared" si="71"/>
        <v>0</v>
      </c>
      <c r="M151" s="2"/>
      <c r="N151" s="7">
        <f t="shared" si="72"/>
        <v>0</v>
      </c>
      <c r="O151" s="11"/>
      <c r="P151" s="6"/>
      <c r="Q151" s="2"/>
      <c r="R151" s="7">
        <f t="shared" si="73"/>
        <v>0</v>
      </c>
      <c r="S151" s="2"/>
      <c r="T151" s="6">
        <v>6550</v>
      </c>
      <c r="U151" s="2"/>
      <c r="V151" s="7">
        <f t="shared" si="74"/>
        <v>2.8533106462465463E-3</v>
      </c>
      <c r="W151" s="2"/>
      <c r="X151" s="6">
        <f t="shared" si="75"/>
        <v>-6550</v>
      </c>
      <c r="Y151" s="2"/>
      <c r="Z151" s="7">
        <f t="shared" si="76"/>
        <v>-1</v>
      </c>
    </row>
    <row r="152" spans="1:26" s="29" customFormat="1" outlineLevel="1" collapsed="1" x14ac:dyDescent="0.25">
      <c r="A152" s="28"/>
      <c r="B152" s="14" t="str">
        <f>CONCATENATE("     ","Rent                                              ")</f>
        <v xml:space="preserve">     Rent                                              </v>
      </c>
      <c r="C152" s="14"/>
      <c r="D152" s="1">
        <f>SUM(OSRRefD22_15x_0)</f>
        <v>6100</v>
      </c>
      <c r="E152" s="1"/>
      <c r="F152" s="5">
        <f t="shared" si="69"/>
        <v>3.8194487469769291E-3</v>
      </c>
      <c r="G152" s="1"/>
      <c r="H152" s="1">
        <f>SUM(OSRRefH22_15x_0)</f>
        <v>6100</v>
      </c>
      <c r="I152" s="1"/>
      <c r="J152" s="5">
        <f t="shared" si="70"/>
        <v>3.0598097500586885E-3</v>
      </c>
      <c r="K152" s="1"/>
      <c r="L152" s="1">
        <f t="shared" si="71"/>
        <v>0</v>
      </c>
      <c r="M152" s="1"/>
      <c r="N152" s="5">
        <f t="shared" si="72"/>
        <v>0</v>
      </c>
      <c r="O152" s="14"/>
      <c r="P152" s="1">
        <f>SUM(OSRRefP22_15x_0)</f>
        <v>12200</v>
      </c>
      <c r="Q152" s="1"/>
      <c r="R152" s="5">
        <f t="shared" si="73"/>
        <v>6.6858240735217919E-3</v>
      </c>
      <c r="S152" s="1"/>
      <c r="T152" s="1">
        <f>SUM(OSRRefT22_15x_0)</f>
        <v>12200</v>
      </c>
      <c r="U152" s="1"/>
      <c r="V152" s="5">
        <f t="shared" si="74"/>
        <v>5.3145633411004365E-3</v>
      </c>
      <c r="W152" s="1"/>
      <c r="X152" s="1">
        <f t="shared" si="75"/>
        <v>0</v>
      </c>
      <c r="Y152" s="1"/>
      <c r="Z152" s="5">
        <f t="shared" si="76"/>
        <v>0</v>
      </c>
    </row>
    <row r="153" spans="1:26" s="24" customFormat="1" hidden="1" outlineLevel="2" x14ac:dyDescent="0.25">
      <c r="A153" s="27"/>
      <c r="B153" s="11" t="str">
        <f>CONCATENATE("          ", "6273", " - ", "RENT")</f>
        <v xml:space="preserve">          6273 - RENT</v>
      </c>
      <c r="C153" s="11"/>
      <c r="D153" s="6">
        <v>6100</v>
      </c>
      <c r="E153" s="2"/>
      <c r="F153" s="7">
        <f t="shared" si="69"/>
        <v>3.8194487469769291E-3</v>
      </c>
      <c r="G153" s="2"/>
      <c r="H153" s="6">
        <v>6100</v>
      </c>
      <c r="I153" s="2"/>
      <c r="J153" s="7">
        <f t="shared" si="70"/>
        <v>3.0598097500586885E-3</v>
      </c>
      <c r="K153" s="2"/>
      <c r="L153" s="6">
        <f t="shared" si="71"/>
        <v>0</v>
      </c>
      <c r="M153" s="2"/>
      <c r="N153" s="7">
        <f t="shared" si="72"/>
        <v>0</v>
      </c>
      <c r="O153" s="11"/>
      <c r="P153" s="6">
        <v>12200</v>
      </c>
      <c r="Q153" s="2"/>
      <c r="R153" s="7">
        <f t="shared" si="73"/>
        <v>6.6858240735217919E-3</v>
      </c>
      <c r="S153" s="2"/>
      <c r="T153" s="6">
        <v>12200</v>
      </c>
      <c r="U153" s="2"/>
      <c r="V153" s="7">
        <f t="shared" si="74"/>
        <v>5.3145633411004365E-3</v>
      </c>
      <c r="W153" s="2"/>
      <c r="X153" s="6">
        <f t="shared" si="75"/>
        <v>0</v>
      </c>
      <c r="Y153" s="2"/>
      <c r="Z153" s="7">
        <f t="shared" si="76"/>
        <v>0</v>
      </c>
    </row>
    <row r="154" spans="1:26" s="29" customFormat="1" outlineLevel="1" collapsed="1" x14ac:dyDescent="0.25">
      <c r="A154" s="28"/>
      <c r="B154" s="14" t="str">
        <f>CONCATENATE("     ","Repair and Maintenance                            ")</f>
        <v xml:space="preserve">     Repair and Maintenance                            </v>
      </c>
      <c r="C154" s="14"/>
      <c r="D154" s="1">
        <f>SUM(OSRRefD22_16x_0)</f>
        <v>6705.0199999999995</v>
      </c>
      <c r="E154" s="1"/>
      <c r="F154" s="5">
        <f t="shared" si="69"/>
        <v>4.1982754487631556E-3</v>
      </c>
      <c r="G154" s="1"/>
      <c r="H154" s="1">
        <f>SUM(OSRRefH22_16x_0)</f>
        <v>12440</v>
      </c>
      <c r="I154" s="1"/>
      <c r="J154" s="5">
        <f t="shared" si="70"/>
        <v>6.2400054574967357E-3</v>
      </c>
      <c r="K154" s="1"/>
      <c r="L154" s="1">
        <f t="shared" si="71"/>
        <v>-5734.9800000000005</v>
      </c>
      <c r="M154" s="1"/>
      <c r="N154" s="5">
        <f t="shared" si="72"/>
        <v>-0.46101125401929266</v>
      </c>
      <c r="O154" s="14"/>
      <c r="P154" s="1">
        <f>SUM(OSRRefP22_16x_0)</f>
        <v>73052.790000000008</v>
      </c>
      <c r="Q154" s="1"/>
      <c r="R154" s="5">
        <f t="shared" si="73"/>
        <v>4.003427065737148E-2</v>
      </c>
      <c r="S154" s="1"/>
      <c r="T154" s="1">
        <f>SUM(OSRRefT22_16x_0)</f>
        <v>69330</v>
      </c>
      <c r="U154" s="1"/>
      <c r="V154" s="5">
        <f t="shared" si="74"/>
        <v>3.0201530855614205E-2</v>
      </c>
      <c r="W154" s="1"/>
      <c r="X154" s="1">
        <f t="shared" si="75"/>
        <v>3722.7900000000081</v>
      </c>
      <c r="Y154" s="1"/>
      <c r="Z154" s="5">
        <f t="shared" si="76"/>
        <v>5.3696668109043819E-2</v>
      </c>
    </row>
    <row r="155" spans="1:26" s="24" customFormat="1" hidden="1" outlineLevel="2" x14ac:dyDescent="0.25">
      <c r="A155" s="27"/>
      <c r="B155" s="11" t="str">
        <f>CONCATENATE("          ", "6371", " - ", "COMPUTER SOFTWARE MAINTENANCE")</f>
        <v xml:space="preserve">          6371 - COMPUTER SOFTWARE MAINTENANCE</v>
      </c>
      <c r="C155" s="11"/>
      <c r="D155" s="6"/>
      <c r="E155" s="2"/>
      <c r="F155" s="7">
        <f t="shared" si="69"/>
        <v>0</v>
      </c>
      <c r="G155" s="2"/>
      <c r="H155" s="6"/>
      <c r="I155" s="2"/>
      <c r="J155" s="7">
        <f t="shared" si="70"/>
        <v>0</v>
      </c>
      <c r="K155" s="2"/>
      <c r="L155" s="6">
        <f t="shared" si="71"/>
        <v>0</v>
      </c>
      <c r="M155" s="2"/>
      <c r="N155" s="7">
        <f t="shared" si="72"/>
        <v>0</v>
      </c>
      <c r="O155" s="11"/>
      <c r="P155" s="6">
        <v>58428.780000000006</v>
      </c>
      <c r="Q155" s="2"/>
      <c r="R155" s="7">
        <f t="shared" si="73"/>
        <v>3.2020044582828582E-2</v>
      </c>
      <c r="S155" s="2"/>
      <c r="T155" s="6">
        <v>45000</v>
      </c>
      <c r="U155" s="2"/>
      <c r="V155" s="7">
        <f t="shared" si="74"/>
        <v>1.9602897569632759E-2</v>
      </c>
      <c r="W155" s="2"/>
      <c r="X155" s="6">
        <f t="shared" si="75"/>
        <v>13428.780000000006</v>
      </c>
      <c r="Y155" s="2"/>
      <c r="Z155" s="7">
        <f t="shared" si="76"/>
        <v>0.29841733333333348</v>
      </c>
    </row>
    <row r="156" spans="1:26" s="24" customFormat="1" hidden="1" outlineLevel="2" x14ac:dyDescent="0.25">
      <c r="A156" s="27"/>
      <c r="B156" s="11" t="str">
        <f>CONCATENATE("          ", "6372", " - ", "COMPUTER HARDWARE MAINTENANCE")</f>
        <v xml:space="preserve">          6372 - COMPUTER HARDWARE MAINTENANCE</v>
      </c>
      <c r="C156" s="11"/>
      <c r="D156" s="6">
        <v>0.98</v>
      </c>
      <c r="E156" s="2"/>
      <c r="F156" s="7">
        <f t="shared" si="69"/>
        <v>6.1361635607170333E-7</v>
      </c>
      <c r="G156" s="2"/>
      <c r="H156" s="6"/>
      <c r="I156" s="2"/>
      <c r="J156" s="7">
        <f t="shared" si="70"/>
        <v>0</v>
      </c>
      <c r="K156" s="2"/>
      <c r="L156" s="6">
        <f t="shared" si="71"/>
        <v>0.98</v>
      </c>
      <c r="M156" s="2"/>
      <c r="N156" s="7">
        <f t="shared" si="72"/>
        <v>0</v>
      </c>
      <c r="O156" s="11"/>
      <c r="P156" s="6">
        <v>0.98</v>
      </c>
      <c r="Q156" s="2"/>
      <c r="R156" s="7">
        <f t="shared" si="73"/>
        <v>5.370579993484718E-7</v>
      </c>
      <c r="S156" s="2"/>
      <c r="T156" s="6"/>
      <c r="U156" s="2"/>
      <c r="V156" s="7">
        <f t="shared" si="74"/>
        <v>0</v>
      </c>
      <c r="W156" s="2"/>
      <c r="X156" s="6">
        <f t="shared" si="75"/>
        <v>0.98</v>
      </c>
      <c r="Y156" s="2"/>
      <c r="Z156" s="7">
        <f t="shared" si="76"/>
        <v>0</v>
      </c>
    </row>
    <row r="157" spans="1:26" s="24" customFormat="1" hidden="1" outlineLevel="2" x14ac:dyDescent="0.25">
      <c r="A157" s="27"/>
      <c r="B157" s="11" t="str">
        <f>CONCATENATE("          ", "6373", " - ", "MAINTENANCE CONTRACTS")</f>
        <v xml:space="preserve">          6373 - MAINTENANCE CONTRACTS</v>
      </c>
      <c r="C157" s="11"/>
      <c r="D157" s="6">
        <v>6370.22</v>
      </c>
      <c r="E157" s="2"/>
      <c r="F157" s="7">
        <f t="shared" si="69"/>
        <v>3.988644065076619E-3</v>
      </c>
      <c r="G157" s="2"/>
      <c r="H157" s="6">
        <v>3840</v>
      </c>
      <c r="I157" s="2"/>
      <c r="J157" s="7">
        <f t="shared" si="70"/>
        <v>1.9261753180697318E-3</v>
      </c>
      <c r="K157" s="2"/>
      <c r="L157" s="6">
        <f t="shared" si="71"/>
        <v>2530.2200000000003</v>
      </c>
      <c r="M157" s="2"/>
      <c r="N157" s="7">
        <f t="shared" si="72"/>
        <v>0.65891145833333342</v>
      </c>
      <c r="O157" s="11"/>
      <c r="P157" s="6">
        <v>12786.23</v>
      </c>
      <c r="Q157" s="2"/>
      <c r="R157" s="7">
        <f t="shared" si="73"/>
        <v>7.0070888806218479E-3</v>
      </c>
      <c r="S157" s="2"/>
      <c r="T157" s="6">
        <v>7380</v>
      </c>
      <c r="U157" s="2"/>
      <c r="V157" s="7">
        <f t="shared" si="74"/>
        <v>3.2148752014197726E-3</v>
      </c>
      <c r="W157" s="2"/>
      <c r="X157" s="6">
        <f t="shared" si="75"/>
        <v>5406.23</v>
      </c>
      <c r="Y157" s="2"/>
      <c r="Z157" s="7">
        <f t="shared" si="76"/>
        <v>0.73255149051490509</v>
      </c>
    </row>
    <row r="158" spans="1:26" s="24" customFormat="1" hidden="1" outlineLevel="2" x14ac:dyDescent="0.25">
      <c r="A158" s="27"/>
      <c r="B158" s="11" t="str">
        <f>CONCATENATE("          ", "6375", " - ", "OUTSIDE REPAIRS &amp; MAINTENANCE")</f>
        <v xml:space="preserve">          6375 - OUTSIDE REPAIRS &amp; MAINTENANCE</v>
      </c>
      <c r="C158" s="11"/>
      <c r="D158" s="6">
        <v>333.82</v>
      </c>
      <c r="E158" s="2"/>
      <c r="F158" s="7">
        <f t="shared" si="69"/>
        <v>2.0901776733046532E-4</v>
      </c>
      <c r="G158" s="2"/>
      <c r="H158" s="6">
        <v>8600</v>
      </c>
      <c r="I158" s="2"/>
      <c r="J158" s="7">
        <f t="shared" si="70"/>
        <v>4.3138301394270032E-3</v>
      </c>
      <c r="K158" s="2"/>
      <c r="L158" s="6">
        <f t="shared" si="71"/>
        <v>-8266.18</v>
      </c>
      <c r="M158" s="2"/>
      <c r="N158" s="7">
        <f t="shared" si="72"/>
        <v>-0.96118372093023263</v>
      </c>
      <c r="O158" s="11"/>
      <c r="P158" s="6">
        <v>1836.8</v>
      </c>
      <c r="Q158" s="2"/>
      <c r="R158" s="7">
        <f t="shared" si="73"/>
        <v>1.0066001359217071E-3</v>
      </c>
      <c r="S158" s="2"/>
      <c r="T158" s="6">
        <v>16950</v>
      </c>
      <c r="U158" s="2"/>
      <c r="V158" s="7">
        <f t="shared" si="74"/>
        <v>7.3837580845616726E-3</v>
      </c>
      <c r="W158" s="2"/>
      <c r="X158" s="6">
        <f t="shared" si="75"/>
        <v>-15113.2</v>
      </c>
      <c r="Y158" s="2"/>
      <c r="Z158" s="7">
        <f t="shared" si="76"/>
        <v>-0.89163421828908562</v>
      </c>
    </row>
    <row r="159" spans="1:26" s="29" customFormat="1" outlineLevel="1" collapsed="1" x14ac:dyDescent="0.25">
      <c r="A159" s="28"/>
      <c r="B159" s="14" t="str">
        <f>CONCATENATE("     ","Royalty &amp; Commissions                             ")</f>
        <v xml:space="preserve">     Royalty &amp; Commissions                             </v>
      </c>
      <c r="C159" s="14"/>
      <c r="D159" s="1">
        <f>SUM(OSRRefD22_17x_0)</f>
        <v>2254.65</v>
      </c>
      <c r="E159" s="1"/>
      <c r="F159" s="5">
        <f t="shared" ref="F159:F163" si="77">IF(D$12=0,0,D159/D$12)</f>
        <v>1.4117246094051694E-3</v>
      </c>
      <c r="G159" s="1"/>
      <c r="H159" s="1">
        <f>SUM(OSRRefH22_17x_0)</f>
        <v>6871</v>
      </c>
      <c r="I159" s="1"/>
      <c r="J159" s="5">
        <f t="shared" ref="J159:J163" si="78">IF(H$12=0,0,H159/H$12)</f>
        <v>3.446549638139877E-3</v>
      </c>
      <c r="K159" s="1"/>
      <c r="L159" s="1">
        <f t="shared" ref="L159:L163" si="79">+D159-H159</f>
        <v>-4616.3500000000004</v>
      </c>
      <c r="M159" s="1"/>
      <c r="N159" s="5">
        <f t="shared" ref="N159:N163" si="80">IF(H159=0,0,L159/H159)</f>
        <v>-0.67185999126764673</v>
      </c>
      <c r="O159" s="14"/>
      <c r="P159" s="1">
        <f>SUM(OSRRefP22_17x_0)</f>
        <v>13244.4</v>
      </c>
      <c r="Q159" s="1"/>
      <c r="R159" s="5">
        <f t="shared" ref="R159:R163" si="81">IF(P$12=0,0,P159/P$12)</f>
        <v>7.2581744556845917E-3</v>
      </c>
      <c r="S159" s="1"/>
      <c r="T159" s="1">
        <f>SUM(OSRRefT22_17x_0)</f>
        <v>13292</v>
      </c>
      <c r="U159" s="1"/>
      <c r="V159" s="5">
        <f t="shared" ref="V159:V163" si="82">IF(T$12=0,0,T159/T$12)</f>
        <v>5.7902603221235251E-3</v>
      </c>
      <c r="W159" s="1"/>
      <c r="X159" s="1">
        <f t="shared" ref="X159:X163" si="83">+P159-T159</f>
        <v>-47.600000000000364</v>
      </c>
      <c r="Y159" s="1"/>
      <c r="Z159" s="5">
        <f t="shared" ref="Z159:Z163" si="84">IF(T159=0,0,X159/T159)</f>
        <v>-3.5811014143846197E-3</v>
      </c>
    </row>
    <row r="160" spans="1:26" s="24" customFormat="1" hidden="1" outlineLevel="2" x14ac:dyDescent="0.25">
      <c r="A160" s="27"/>
      <c r="B160" s="11" t="str">
        <f>CONCATENATE("          ", "6252", " - ", "ROYALTY DUE CSTV")</f>
        <v xml:space="preserve">          6252 - ROYALTY DUE CSTV</v>
      </c>
      <c r="C160" s="11"/>
      <c r="D160" s="6"/>
      <c r="E160" s="2"/>
      <c r="F160" s="7">
        <f t="shared" si="77"/>
        <v>0</v>
      </c>
      <c r="G160" s="2"/>
      <c r="H160" s="6">
        <v>1085</v>
      </c>
      <c r="I160" s="2"/>
      <c r="J160" s="7">
        <f t="shared" si="78"/>
        <v>5.4424484898584868E-4</v>
      </c>
      <c r="K160" s="2"/>
      <c r="L160" s="6">
        <f t="shared" si="79"/>
        <v>-1085</v>
      </c>
      <c r="M160" s="2"/>
      <c r="N160" s="7">
        <f t="shared" si="80"/>
        <v>-1</v>
      </c>
      <c r="O160" s="11"/>
      <c r="P160" s="6"/>
      <c r="Q160" s="2"/>
      <c r="R160" s="7">
        <f t="shared" si="81"/>
        <v>0</v>
      </c>
      <c r="S160" s="2"/>
      <c r="T160" s="6">
        <v>2170</v>
      </c>
      <c r="U160" s="2"/>
      <c r="V160" s="7">
        <f t="shared" si="82"/>
        <v>9.4529528280229088E-4</v>
      </c>
      <c r="W160" s="2"/>
      <c r="X160" s="6">
        <f t="shared" si="83"/>
        <v>-2170</v>
      </c>
      <c r="Y160" s="2"/>
      <c r="Z160" s="7">
        <f t="shared" si="84"/>
        <v>-1</v>
      </c>
    </row>
    <row r="161" spans="1:26" s="24" customFormat="1" hidden="1" outlineLevel="2" x14ac:dyDescent="0.25">
      <c r="A161" s="27"/>
      <c r="B161" s="11" t="str">
        <f>CONCATENATE("          ", "6253", " - ", "ROYALTY DUE ATHLETICS-LRG")</f>
        <v xml:space="preserve">          6253 - ROYALTY DUE ATHLETICS-LRG</v>
      </c>
      <c r="C161" s="11"/>
      <c r="D161" s="6">
        <v>2250</v>
      </c>
      <c r="E161" s="2"/>
      <c r="F161" s="7">
        <f t="shared" si="77"/>
        <v>1.4088130624095229E-3</v>
      </c>
      <c r="G161" s="2"/>
      <c r="H161" s="6">
        <v>4037</v>
      </c>
      <c r="I161" s="2"/>
      <c r="J161" s="7">
        <f t="shared" si="78"/>
        <v>2.0249921247519551E-3</v>
      </c>
      <c r="K161" s="2"/>
      <c r="L161" s="6">
        <f t="shared" si="79"/>
        <v>-1787</v>
      </c>
      <c r="M161" s="2"/>
      <c r="N161" s="7">
        <f t="shared" si="80"/>
        <v>-0.44265543720584594</v>
      </c>
      <c r="O161" s="11"/>
      <c r="P161" s="6">
        <v>7922.2</v>
      </c>
      <c r="Q161" s="2"/>
      <c r="R161" s="7">
        <f t="shared" si="81"/>
        <v>4.3415111045290444E-3</v>
      </c>
      <c r="S161" s="2"/>
      <c r="T161" s="6">
        <v>8074</v>
      </c>
      <c r="U161" s="2"/>
      <c r="V161" s="7">
        <f t="shared" si="82"/>
        <v>3.5171954439381088E-3</v>
      </c>
      <c r="W161" s="2"/>
      <c r="X161" s="6">
        <f t="shared" si="83"/>
        <v>-151.80000000000018</v>
      </c>
      <c r="Y161" s="2"/>
      <c r="Z161" s="7">
        <f t="shared" si="84"/>
        <v>-1.8801089918256152E-2</v>
      </c>
    </row>
    <row r="162" spans="1:26" s="24" customFormat="1" hidden="1" outlineLevel="2" x14ac:dyDescent="0.25">
      <c r="A162" s="27"/>
      <c r="B162" s="11" t="str">
        <f>CONCATENATE("          ", "6254", " - ", "ROYALTY &amp; COMMISSIONS")</f>
        <v xml:space="preserve">          6254 - ROYALTY &amp; COMMISSIONS</v>
      </c>
      <c r="C162" s="11"/>
      <c r="D162" s="6"/>
      <c r="E162" s="2"/>
      <c r="F162" s="7">
        <f t="shared" si="77"/>
        <v>0</v>
      </c>
      <c r="G162" s="2"/>
      <c r="H162" s="6">
        <v>1149</v>
      </c>
      <c r="I162" s="2"/>
      <c r="J162" s="7">
        <f t="shared" si="78"/>
        <v>5.7634777095367758E-4</v>
      </c>
      <c r="K162" s="2"/>
      <c r="L162" s="6">
        <f t="shared" si="79"/>
        <v>-1149</v>
      </c>
      <c r="M162" s="2"/>
      <c r="N162" s="7">
        <f t="shared" si="80"/>
        <v>-1</v>
      </c>
      <c r="O162" s="11"/>
      <c r="P162" s="6"/>
      <c r="Q162" s="2"/>
      <c r="R162" s="7">
        <f t="shared" si="81"/>
        <v>0</v>
      </c>
      <c r="S162" s="2"/>
      <c r="T162" s="6">
        <v>2298</v>
      </c>
      <c r="U162" s="2"/>
      <c r="V162" s="7">
        <f t="shared" si="82"/>
        <v>1.0010546358892463E-3</v>
      </c>
      <c r="W162" s="2"/>
      <c r="X162" s="6">
        <f t="shared" si="83"/>
        <v>-2298</v>
      </c>
      <c r="Y162" s="2"/>
      <c r="Z162" s="7">
        <f t="shared" si="84"/>
        <v>-1</v>
      </c>
    </row>
    <row r="163" spans="1:26" s="24" customFormat="1" hidden="1" outlineLevel="2" x14ac:dyDescent="0.25">
      <c r="A163" s="27"/>
      <c r="B163" s="11" t="str">
        <f>CONCATENATE("          ", "6259", " - ", "ROYALTY &amp; COMMISSIONS")</f>
        <v xml:space="preserve">          6259 - ROYALTY &amp; COMMISSIONS</v>
      </c>
      <c r="C163" s="11"/>
      <c r="D163" s="6">
        <v>4.6500000000000004</v>
      </c>
      <c r="E163" s="2"/>
      <c r="F163" s="7">
        <f t="shared" si="77"/>
        <v>2.9115469956463479E-6</v>
      </c>
      <c r="G163" s="2"/>
      <c r="H163" s="6">
        <v>600</v>
      </c>
      <c r="I163" s="2"/>
      <c r="J163" s="7">
        <f t="shared" si="78"/>
        <v>3.0096489344839559E-4</v>
      </c>
      <c r="K163" s="2"/>
      <c r="L163" s="6">
        <f t="shared" si="79"/>
        <v>-595.35</v>
      </c>
      <c r="M163" s="2"/>
      <c r="N163" s="7">
        <f t="shared" si="80"/>
        <v>-0.99225000000000008</v>
      </c>
      <c r="O163" s="11"/>
      <c r="P163" s="6">
        <v>5322.2</v>
      </c>
      <c r="Q163" s="2"/>
      <c r="R163" s="7">
        <f t="shared" si="81"/>
        <v>2.9166633511555477E-3</v>
      </c>
      <c r="S163" s="2"/>
      <c r="T163" s="6">
        <v>750</v>
      </c>
      <c r="U163" s="2"/>
      <c r="V163" s="7">
        <f t="shared" si="82"/>
        <v>3.2671495949387934E-4</v>
      </c>
      <c r="W163" s="2"/>
      <c r="X163" s="6">
        <f t="shared" si="83"/>
        <v>4572.2</v>
      </c>
      <c r="Y163" s="2"/>
      <c r="Z163" s="7">
        <f t="shared" si="84"/>
        <v>6.0962666666666667</v>
      </c>
    </row>
    <row r="164" spans="1:26" s="29" customFormat="1" outlineLevel="1" collapsed="1" x14ac:dyDescent="0.25">
      <c r="A164" s="28"/>
      <c r="B164" s="14" t="str">
        <f>CONCATENATE("     ","Services                                          ")</f>
        <v xml:space="preserve">     Services                                          </v>
      </c>
      <c r="C164" s="14"/>
      <c r="D164" s="1">
        <f>SUM(OSRRefD22_18x_0)</f>
        <v>421.78</v>
      </c>
      <c r="E164" s="1"/>
      <c r="F164" s="5">
        <f t="shared" ref="F164:F168" si="85">IF(D$12=0,0,D164/D$12)</f>
        <v>2.6409296598359493E-4</v>
      </c>
      <c r="G164" s="1"/>
      <c r="H164" s="1">
        <f>SUM(OSRRefH22_18x_0)</f>
        <v>4729</v>
      </c>
      <c r="I164" s="1"/>
      <c r="J164" s="5">
        <f t="shared" ref="J164:J168" si="86">IF(H$12=0,0,H164/H$12)</f>
        <v>2.3721049685291045E-3</v>
      </c>
      <c r="K164" s="1"/>
      <c r="L164" s="1">
        <f t="shared" ref="L164:L168" si="87">+D164-H164</f>
        <v>-4307.22</v>
      </c>
      <c r="M164" s="1"/>
      <c r="N164" s="5">
        <f t="shared" ref="N164:N168" si="88">IF(H164=0,0,L164/H164)</f>
        <v>-0.91080989638401355</v>
      </c>
      <c r="O164" s="14"/>
      <c r="P164" s="1">
        <f>SUM(OSRRefP22_18x_0)</f>
        <v>4305.5200000000004</v>
      </c>
      <c r="Q164" s="1"/>
      <c r="R164" s="5">
        <f t="shared" ref="R164:R168" si="89">IF(P$12=0,0,P164/P$12)</f>
        <v>2.3595040381171762E-3</v>
      </c>
      <c r="S164" s="1"/>
      <c r="T164" s="1">
        <f>SUM(OSRRefT22_18x_0)</f>
        <v>9184</v>
      </c>
      <c r="U164" s="1"/>
      <c r="V164" s="5">
        <f t="shared" ref="V164:V168" si="90">IF(T$12=0,0,T164/T$12)</f>
        <v>4.0007335839890501E-3</v>
      </c>
      <c r="W164" s="1"/>
      <c r="X164" s="1">
        <f t="shared" ref="X164:X168" si="91">+P164-T164</f>
        <v>-4878.4799999999996</v>
      </c>
      <c r="Y164" s="1"/>
      <c r="Z164" s="5">
        <f t="shared" ref="Z164:Z168" si="92">IF(T164=0,0,X164/T164)</f>
        <v>-0.53119337979094072</v>
      </c>
    </row>
    <row r="165" spans="1:26" s="24" customFormat="1" hidden="1" outlineLevel="2" x14ac:dyDescent="0.25">
      <c r="A165" s="27"/>
      <c r="B165" s="11" t="str">
        <f>CONCATENATE("          ", "6282", " - ", "JANITORIAL/EXTERMINATOR EXPENS")</f>
        <v xml:space="preserve">          6282 - JANITORIAL/EXTERMINATOR EXPENS</v>
      </c>
      <c r="C165" s="11"/>
      <c r="D165" s="6">
        <v>339.94</v>
      </c>
      <c r="E165" s="2"/>
      <c r="F165" s="7">
        <f t="shared" si="85"/>
        <v>2.1284973886021922E-4</v>
      </c>
      <c r="G165" s="2"/>
      <c r="H165" s="6">
        <v>4000</v>
      </c>
      <c r="I165" s="2"/>
      <c r="J165" s="7">
        <f t="shared" si="86"/>
        <v>2.0064326229893041E-3</v>
      </c>
      <c r="K165" s="2"/>
      <c r="L165" s="6">
        <f t="shared" si="87"/>
        <v>-3660.06</v>
      </c>
      <c r="M165" s="2"/>
      <c r="N165" s="7">
        <f t="shared" si="88"/>
        <v>-0.91501500000000002</v>
      </c>
      <c r="O165" s="11"/>
      <c r="P165" s="6">
        <v>476.44</v>
      </c>
      <c r="Q165" s="2"/>
      <c r="R165" s="7">
        <f t="shared" si="89"/>
        <v>2.6109787062202647E-4</v>
      </c>
      <c r="S165" s="2"/>
      <c r="T165" s="6">
        <v>8000</v>
      </c>
      <c r="U165" s="2"/>
      <c r="V165" s="7">
        <f t="shared" si="90"/>
        <v>3.4849595679347129E-3</v>
      </c>
      <c r="W165" s="2"/>
      <c r="X165" s="6">
        <f t="shared" si="91"/>
        <v>-7523.56</v>
      </c>
      <c r="Y165" s="2"/>
      <c r="Z165" s="7">
        <f t="shared" si="92"/>
        <v>-0.94044500000000009</v>
      </c>
    </row>
    <row r="166" spans="1:26" s="24" customFormat="1" hidden="1" outlineLevel="2" x14ac:dyDescent="0.25">
      <c r="A166" s="27"/>
      <c r="B166" s="11" t="str">
        <f>CONCATENATE("          ", "6283", " - ", "PLANT SERVICE")</f>
        <v xml:space="preserve">          6283 - PLANT SERVICE</v>
      </c>
      <c r="C166" s="11"/>
      <c r="D166" s="6"/>
      <c r="E166" s="2"/>
      <c r="F166" s="7">
        <f t="shared" si="85"/>
        <v>0</v>
      </c>
      <c r="G166" s="2"/>
      <c r="H166" s="6">
        <v>0</v>
      </c>
      <c r="I166" s="2"/>
      <c r="J166" s="7">
        <f t="shared" si="86"/>
        <v>0</v>
      </c>
      <c r="K166" s="2"/>
      <c r="L166" s="6">
        <f t="shared" si="87"/>
        <v>0</v>
      </c>
      <c r="M166" s="2"/>
      <c r="N166" s="7">
        <f t="shared" si="88"/>
        <v>0</v>
      </c>
      <c r="O166" s="11"/>
      <c r="P166" s="6">
        <v>130</v>
      </c>
      <c r="Q166" s="2"/>
      <c r="R166" s="7">
        <f t="shared" si="89"/>
        <v>7.1242387668674838E-5</v>
      </c>
      <c r="S166" s="2"/>
      <c r="T166" s="6">
        <v>0</v>
      </c>
      <c r="U166" s="2"/>
      <c r="V166" s="7">
        <f t="shared" si="90"/>
        <v>0</v>
      </c>
      <c r="W166" s="2"/>
      <c r="X166" s="6">
        <f t="shared" si="91"/>
        <v>130</v>
      </c>
      <c r="Y166" s="2"/>
      <c r="Z166" s="7">
        <f t="shared" si="92"/>
        <v>0</v>
      </c>
    </row>
    <row r="167" spans="1:26" s="24" customFormat="1" hidden="1" outlineLevel="2" x14ac:dyDescent="0.25">
      <c r="A167" s="27"/>
      <c r="B167" s="11" t="str">
        <f>CONCATENATE("          ", "6284", " - ", "TRASH REMOVAL EXPENSE")</f>
        <v xml:space="preserve">          6284 - TRASH REMOVAL EXPENSE</v>
      </c>
      <c r="C167" s="11"/>
      <c r="D167" s="6">
        <v>142.57</v>
      </c>
      <c r="E167" s="2"/>
      <c r="F167" s="7">
        <f t="shared" si="85"/>
        <v>8.9268657025655859E-5</v>
      </c>
      <c r="G167" s="2"/>
      <c r="H167" s="6">
        <v>55</v>
      </c>
      <c r="I167" s="2"/>
      <c r="J167" s="7">
        <f t="shared" si="86"/>
        <v>2.758844856610293E-5</v>
      </c>
      <c r="K167" s="2"/>
      <c r="L167" s="6">
        <f t="shared" si="87"/>
        <v>87.57</v>
      </c>
      <c r="M167" s="2"/>
      <c r="N167" s="7">
        <f t="shared" si="88"/>
        <v>1.5921818181818181</v>
      </c>
      <c r="O167" s="11"/>
      <c r="P167" s="6">
        <v>285.14</v>
      </c>
      <c r="Q167" s="2"/>
      <c r="R167" s="7">
        <f t="shared" si="89"/>
        <v>1.5626195707573801E-4</v>
      </c>
      <c r="S167" s="2"/>
      <c r="T167" s="6">
        <v>110</v>
      </c>
      <c r="U167" s="2"/>
      <c r="V167" s="7">
        <f t="shared" si="90"/>
        <v>4.7918194059102302E-5</v>
      </c>
      <c r="W167" s="2"/>
      <c r="X167" s="6">
        <f t="shared" si="91"/>
        <v>175.14</v>
      </c>
      <c r="Y167" s="2"/>
      <c r="Z167" s="7">
        <f t="shared" si="92"/>
        <v>1.5921818181818181</v>
      </c>
    </row>
    <row r="168" spans="1:26" s="24" customFormat="1" hidden="1" outlineLevel="2" x14ac:dyDescent="0.25">
      <c r="A168" s="27"/>
      <c r="B168" s="11" t="str">
        <f>CONCATENATE("          ", "6285", " - ", "JANITORIAL SERVICES")</f>
        <v xml:space="preserve">          6285 - JANITORIAL SERVICES</v>
      </c>
      <c r="C168" s="11"/>
      <c r="D168" s="6">
        <v>-60.73</v>
      </c>
      <c r="E168" s="2"/>
      <c r="F168" s="7">
        <f t="shared" si="85"/>
        <v>-3.8025429902280146E-5</v>
      </c>
      <c r="G168" s="2"/>
      <c r="H168" s="6">
        <v>674</v>
      </c>
      <c r="I168" s="2"/>
      <c r="J168" s="7">
        <f t="shared" si="86"/>
        <v>3.3808389697369772E-4</v>
      </c>
      <c r="K168" s="2"/>
      <c r="L168" s="6">
        <f t="shared" si="87"/>
        <v>-734.73</v>
      </c>
      <c r="M168" s="2"/>
      <c r="N168" s="7">
        <f t="shared" si="88"/>
        <v>-1.0901038575667656</v>
      </c>
      <c r="O168" s="11"/>
      <c r="P168" s="6">
        <v>3413.94</v>
      </c>
      <c r="Q168" s="2"/>
      <c r="R168" s="7">
        <f t="shared" si="89"/>
        <v>1.8709018227507366E-3</v>
      </c>
      <c r="S168" s="2"/>
      <c r="T168" s="6">
        <v>1074</v>
      </c>
      <c r="U168" s="2"/>
      <c r="V168" s="7">
        <f t="shared" si="90"/>
        <v>4.6785582199523521E-4</v>
      </c>
      <c r="W168" s="2"/>
      <c r="X168" s="6">
        <f t="shared" si="91"/>
        <v>2339.94</v>
      </c>
      <c r="Y168" s="2"/>
      <c r="Z168" s="7">
        <f t="shared" si="92"/>
        <v>2.1787150837988829</v>
      </c>
    </row>
    <row r="169" spans="1:26" s="29" customFormat="1" outlineLevel="1" collapsed="1" x14ac:dyDescent="0.25">
      <c r="A169" s="28"/>
      <c r="B169" s="14" t="str">
        <f>CONCATENATE("     ","Subscriptions &amp; Dues                              ")</f>
        <v xml:space="preserve">     Subscriptions &amp; Dues                              </v>
      </c>
      <c r="C169" s="14"/>
      <c r="D169" s="1">
        <f>SUM(OSRRefD22_19x_0)</f>
        <v>270</v>
      </c>
      <c r="E169" s="1"/>
      <c r="F169" s="5">
        <f t="shared" ref="F169:F171" si="93">IF(D$12=0,0,D169/D$12)</f>
        <v>1.6905756748914275E-4</v>
      </c>
      <c r="G169" s="1"/>
      <c r="H169" s="1">
        <f>SUM(OSRRefH22_19x_0)</f>
        <v>1100</v>
      </c>
      <c r="I169" s="1"/>
      <c r="J169" s="5">
        <f t="shared" ref="J169:J171" si="94">IF(H$12=0,0,H169/H$12)</f>
        <v>5.517689713220586E-4</v>
      </c>
      <c r="K169" s="1"/>
      <c r="L169" s="1">
        <f t="shared" ref="L169:L171" si="95">+D169-H169</f>
        <v>-830</v>
      </c>
      <c r="M169" s="1"/>
      <c r="N169" s="5">
        <f t="shared" ref="N169:N171" si="96">IF(H169=0,0,L169/H169)</f>
        <v>-0.75454545454545452</v>
      </c>
      <c r="O169" s="14"/>
      <c r="P169" s="1">
        <f>SUM(OSRRefP22_19x_0)</f>
        <v>635</v>
      </c>
      <c r="Q169" s="1"/>
      <c r="R169" s="5">
        <f t="shared" ref="R169:R171" si="97">IF(P$12=0,0,P169/P$12)</f>
        <v>3.4799166284314248E-4</v>
      </c>
      <c r="S169" s="1"/>
      <c r="T169" s="1">
        <f>SUM(OSRRefT22_19x_0)</f>
        <v>3595</v>
      </c>
      <c r="U169" s="1"/>
      <c r="V169" s="5">
        <f t="shared" ref="V169:V171" si="98">IF(T$12=0,0,T169/T$12)</f>
        <v>1.5660537058406615E-3</v>
      </c>
      <c r="W169" s="1"/>
      <c r="X169" s="1">
        <f t="shared" ref="X169:X171" si="99">+P169-T169</f>
        <v>-2960</v>
      </c>
      <c r="Y169" s="1"/>
      <c r="Z169" s="5">
        <f t="shared" ref="Z169:Z171" si="100">IF(T169=0,0,X169/T169)</f>
        <v>-0.82336578581363007</v>
      </c>
    </row>
    <row r="170" spans="1:26" s="24" customFormat="1" hidden="1" outlineLevel="2" x14ac:dyDescent="0.25">
      <c r="A170" s="27"/>
      <c r="B170" s="11" t="str">
        <f>CONCATENATE("          ", "6258", " - ", "MEMBERSHIP DUES")</f>
        <v xml:space="preserve">          6258 - MEMBERSHIP DUES</v>
      </c>
      <c r="C170" s="11"/>
      <c r="D170" s="6">
        <v>270</v>
      </c>
      <c r="E170" s="2"/>
      <c r="F170" s="7">
        <f t="shared" si="93"/>
        <v>1.6905756748914275E-4</v>
      </c>
      <c r="G170" s="2"/>
      <c r="H170" s="6">
        <v>1100</v>
      </c>
      <c r="I170" s="2"/>
      <c r="J170" s="7">
        <f t="shared" si="94"/>
        <v>5.517689713220586E-4</v>
      </c>
      <c r="K170" s="2"/>
      <c r="L170" s="6">
        <f t="shared" si="95"/>
        <v>-830</v>
      </c>
      <c r="M170" s="2"/>
      <c r="N170" s="7">
        <f t="shared" si="96"/>
        <v>-0.75454545454545452</v>
      </c>
      <c r="O170" s="11"/>
      <c r="P170" s="6">
        <v>560</v>
      </c>
      <c r="Q170" s="2"/>
      <c r="R170" s="7">
        <f t="shared" si="97"/>
        <v>3.0689028534198391E-4</v>
      </c>
      <c r="S170" s="2"/>
      <c r="T170" s="6">
        <v>3595</v>
      </c>
      <c r="U170" s="2"/>
      <c r="V170" s="7">
        <f t="shared" si="98"/>
        <v>1.5660537058406615E-3</v>
      </c>
      <c r="W170" s="2"/>
      <c r="X170" s="6">
        <f t="shared" si="99"/>
        <v>-3035</v>
      </c>
      <c r="Y170" s="2"/>
      <c r="Z170" s="7">
        <f t="shared" si="100"/>
        <v>-0.84422809457579973</v>
      </c>
    </row>
    <row r="171" spans="1:26" s="24" customFormat="1" hidden="1" outlineLevel="2" x14ac:dyDescent="0.25">
      <c r="A171" s="27"/>
      <c r="B171" s="11" t="str">
        <f>CONCATENATE("          ", "6275", " - ", "SUBSCRIPTIONS")</f>
        <v xml:space="preserve">          6275 - SUBSCRIPTIONS</v>
      </c>
      <c r="C171" s="11"/>
      <c r="D171" s="6"/>
      <c r="E171" s="2"/>
      <c r="F171" s="7">
        <f t="shared" si="93"/>
        <v>0</v>
      </c>
      <c r="G171" s="2"/>
      <c r="H171" s="6">
        <v>0</v>
      </c>
      <c r="I171" s="2"/>
      <c r="J171" s="7">
        <f t="shared" si="94"/>
        <v>0</v>
      </c>
      <c r="K171" s="2"/>
      <c r="L171" s="6">
        <f t="shared" si="95"/>
        <v>0</v>
      </c>
      <c r="M171" s="2"/>
      <c r="N171" s="7">
        <f t="shared" si="96"/>
        <v>0</v>
      </c>
      <c r="O171" s="11"/>
      <c r="P171" s="6">
        <v>75</v>
      </c>
      <c r="Q171" s="2"/>
      <c r="R171" s="7">
        <f t="shared" si="97"/>
        <v>4.1101377501158559E-5</v>
      </c>
      <c r="S171" s="2"/>
      <c r="T171" s="6">
        <v>0</v>
      </c>
      <c r="U171" s="2"/>
      <c r="V171" s="7">
        <f t="shared" si="98"/>
        <v>0</v>
      </c>
      <c r="W171" s="2"/>
      <c r="X171" s="6">
        <f t="shared" si="99"/>
        <v>75</v>
      </c>
      <c r="Y171" s="2"/>
      <c r="Z171" s="7">
        <f t="shared" si="100"/>
        <v>0</v>
      </c>
    </row>
    <row r="172" spans="1:26" s="29" customFormat="1" outlineLevel="1" collapsed="1" x14ac:dyDescent="0.25">
      <c r="A172" s="28"/>
      <c r="B172" s="14" t="str">
        <f>CONCATENATE("     ","Supplies                                          ")</f>
        <v xml:space="preserve">     Supplies                                          </v>
      </c>
      <c r="C172" s="14"/>
      <c r="D172" s="1">
        <f>SUM(OSRRefD22_20x_0)</f>
        <v>8018.0199999999995</v>
      </c>
      <c r="E172" s="1"/>
      <c r="F172" s="5">
        <f t="shared" ref="F172:F181" si="101">IF(D$12=0,0,D172/D$12)</f>
        <v>5.0203961380714682E-3</v>
      </c>
      <c r="G172" s="1"/>
      <c r="H172" s="1">
        <f>SUM(OSRRefH22_20x_0)</f>
        <v>38410</v>
      </c>
      <c r="I172" s="1"/>
      <c r="J172" s="5">
        <f t="shared" ref="J172:J181" si="102">IF(H$12=0,0,H172/H$12)</f>
        <v>1.926676926225479E-2</v>
      </c>
      <c r="K172" s="1"/>
      <c r="L172" s="1">
        <f t="shared" ref="L172:L181" si="103">+D172-H172</f>
        <v>-30391.98</v>
      </c>
      <c r="M172" s="1"/>
      <c r="N172" s="5">
        <f t="shared" ref="N172:N181" si="104">IF(H172=0,0,L172/H172)</f>
        <v>-0.79125175735485553</v>
      </c>
      <c r="O172" s="14"/>
      <c r="P172" s="1">
        <f>SUM(OSRRefP22_20x_0)</f>
        <v>19537.940000000002</v>
      </c>
      <c r="Q172" s="1"/>
      <c r="R172" s="5">
        <f t="shared" ref="R172:R181" si="105">IF(P$12=0,0,P172/P$12)</f>
        <v>1.0707149967133145E-2</v>
      </c>
      <c r="S172" s="1"/>
      <c r="T172" s="1">
        <f>SUM(OSRRefT22_20x_0)</f>
        <v>44795</v>
      </c>
      <c r="U172" s="1"/>
      <c r="V172" s="5">
        <f t="shared" ref="V172:V181" si="106">IF(T$12=0,0,T172/T$12)</f>
        <v>1.9513595480704433E-2</v>
      </c>
      <c r="W172" s="1"/>
      <c r="X172" s="1">
        <f t="shared" ref="X172:X181" si="107">+P172-T172</f>
        <v>-25257.059999999998</v>
      </c>
      <c r="Y172" s="1"/>
      <c r="Z172" s="5">
        <f t="shared" ref="Z172:Z181" si="108">IF(T172=0,0,X172/T172)</f>
        <v>-0.56383658890501165</v>
      </c>
    </row>
    <row r="173" spans="1:26" s="24" customFormat="1" hidden="1" outlineLevel="2" x14ac:dyDescent="0.25">
      <c r="A173" s="27"/>
      <c r="B173" s="11" t="str">
        <f>CONCATENATE("          ", "6234", " - ", "EXPENDABLE SUPPLIES &amp; EQUIPMEN")</f>
        <v xml:space="preserve">          6234 - EXPENDABLE SUPPLIES &amp; EQUIPMEN</v>
      </c>
      <c r="C173" s="11"/>
      <c r="D173" s="6"/>
      <c r="E173" s="2"/>
      <c r="F173" s="7">
        <f t="shared" si="101"/>
        <v>0</v>
      </c>
      <c r="G173" s="2"/>
      <c r="H173" s="6">
        <v>150</v>
      </c>
      <c r="I173" s="2"/>
      <c r="J173" s="7">
        <f t="shared" si="102"/>
        <v>7.5241223362098897E-5</v>
      </c>
      <c r="K173" s="2"/>
      <c r="L173" s="6">
        <f t="shared" si="103"/>
        <v>-150</v>
      </c>
      <c r="M173" s="2"/>
      <c r="N173" s="7">
        <f t="shared" si="104"/>
        <v>-1</v>
      </c>
      <c r="O173" s="11"/>
      <c r="P173" s="6"/>
      <c r="Q173" s="2"/>
      <c r="R173" s="7">
        <f t="shared" si="105"/>
        <v>0</v>
      </c>
      <c r="S173" s="2"/>
      <c r="T173" s="6">
        <v>300</v>
      </c>
      <c r="U173" s="2"/>
      <c r="V173" s="7">
        <f t="shared" si="106"/>
        <v>1.3068598379755174E-4</v>
      </c>
      <c r="W173" s="2"/>
      <c r="X173" s="6">
        <f t="shared" si="107"/>
        <v>-300</v>
      </c>
      <c r="Y173" s="2"/>
      <c r="Z173" s="7">
        <f t="shared" si="108"/>
        <v>-1</v>
      </c>
    </row>
    <row r="174" spans="1:26" s="24" customFormat="1" hidden="1" outlineLevel="2" x14ac:dyDescent="0.25">
      <c r="A174" s="27"/>
      <c r="B174" s="11" t="str">
        <f>CONCATENATE("          ", "6235", " - ", "COVID-19 EXPENSES")</f>
        <v xml:space="preserve">          6235 - COVID-19 EXPENSES</v>
      </c>
      <c r="C174" s="11"/>
      <c r="D174" s="6">
        <v>621.78</v>
      </c>
      <c r="E174" s="2"/>
      <c r="F174" s="7">
        <f t="shared" si="101"/>
        <v>3.8932079375333028E-4</v>
      </c>
      <c r="G174" s="2"/>
      <c r="H174" s="6">
        <v>30400</v>
      </c>
      <c r="I174" s="2"/>
      <c r="J174" s="7">
        <f t="shared" si="102"/>
        <v>1.524888793471871E-2</v>
      </c>
      <c r="K174" s="2"/>
      <c r="L174" s="6">
        <f t="shared" si="103"/>
        <v>-29778.22</v>
      </c>
      <c r="M174" s="2"/>
      <c r="N174" s="7">
        <f t="shared" si="104"/>
        <v>-0.97954671052631581</v>
      </c>
      <c r="O174" s="11"/>
      <c r="P174" s="6">
        <v>6633.89</v>
      </c>
      <c r="Q174" s="2"/>
      <c r="R174" s="7">
        <f t="shared" si="105"/>
        <v>3.6354935625488101E-3</v>
      </c>
      <c r="S174" s="2"/>
      <c r="T174" s="6">
        <v>30700</v>
      </c>
      <c r="U174" s="2"/>
      <c r="V174" s="7">
        <f t="shared" si="106"/>
        <v>1.3373532341949461E-2</v>
      </c>
      <c r="W174" s="2"/>
      <c r="X174" s="6">
        <f t="shared" si="107"/>
        <v>-24066.11</v>
      </c>
      <c r="Y174" s="2"/>
      <c r="Z174" s="7">
        <f t="shared" si="108"/>
        <v>-0.78391237785016288</v>
      </c>
    </row>
    <row r="175" spans="1:26" s="24" customFormat="1" hidden="1" outlineLevel="2" x14ac:dyDescent="0.25">
      <c r="A175" s="27"/>
      <c r="B175" s="11" t="str">
        <f>CONCATENATE("          ", "6237", " - ", "JANITORIAL SUPPLIES")</f>
        <v xml:space="preserve">          6237 - JANITORIAL SUPPLIES</v>
      </c>
      <c r="C175" s="11"/>
      <c r="D175" s="6"/>
      <c r="E175" s="2"/>
      <c r="F175" s="7">
        <f t="shared" si="101"/>
        <v>0</v>
      </c>
      <c r="G175" s="2"/>
      <c r="H175" s="6">
        <v>260</v>
      </c>
      <c r="I175" s="2"/>
      <c r="J175" s="7">
        <f t="shared" si="102"/>
        <v>1.3041812049430476E-4</v>
      </c>
      <c r="K175" s="2"/>
      <c r="L175" s="6">
        <f t="shared" si="103"/>
        <v>-260</v>
      </c>
      <c r="M175" s="2"/>
      <c r="N175" s="7">
        <f t="shared" si="104"/>
        <v>-1</v>
      </c>
      <c r="O175" s="11"/>
      <c r="P175" s="6">
        <v>139.31</v>
      </c>
      <c r="Q175" s="2"/>
      <c r="R175" s="7">
        <f t="shared" si="105"/>
        <v>7.6344438662485323E-5</v>
      </c>
      <c r="S175" s="2"/>
      <c r="T175" s="6">
        <v>520</v>
      </c>
      <c r="U175" s="2"/>
      <c r="V175" s="7">
        <f t="shared" si="106"/>
        <v>2.2652237191575633E-4</v>
      </c>
      <c r="W175" s="2"/>
      <c r="X175" s="6">
        <f t="shared" si="107"/>
        <v>-380.69</v>
      </c>
      <c r="Y175" s="2"/>
      <c r="Z175" s="7">
        <f t="shared" si="108"/>
        <v>-0.7320961538461539</v>
      </c>
    </row>
    <row r="176" spans="1:26" s="24" customFormat="1" hidden="1" outlineLevel="2" x14ac:dyDescent="0.25">
      <c r="A176" s="27"/>
      <c r="B176" s="11" t="str">
        <f>CONCATENATE("          ", "6241", " - ", "OFFICE EXPENSE")</f>
        <v xml:space="preserve">          6241 - OFFICE EXPENSE</v>
      </c>
      <c r="C176" s="11"/>
      <c r="D176" s="6">
        <v>2293.5100000000002</v>
      </c>
      <c r="E176" s="2"/>
      <c r="F176" s="7">
        <f t="shared" si="101"/>
        <v>1.436056376340829E-3</v>
      </c>
      <c r="G176" s="2"/>
      <c r="H176" s="6">
        <v>725</v>
      </c>
      <c r="I176" s="2"/>
      <c r="J176" s="7">
        <f t="shared" si="102"/>
        <v>3.6366591291681131E-4</v>
      </c>
      <c r="K176" s="2"/>
      <c r="L176" s="6">
        <f t="shared" si="103"/>
        <v>1568.5100000000002</v>
      </c>
      <c r="M176" s="2"/>
      <c r="N176" s="7">
        <f t="shared" si="104"/>
        <v>2.1634620689655177</v>
      </c>
      <c r="O176" s="11"/>
      <c r="P176" s="6">
        <v>2723.92</v>
      </c>
      <c r="Q176" s="2"/>
      <c r="R176" s="7">
        <f t="shared" si="105"/>
        <v>1.4927581893727443E-3</v>
      </c>
      <c r="S176" s="2"/>
      <c r="T176" s="6">
        <v>1150</v>
      </c>
      <c r="U176" s="2"/>
      <c r="V176" s="7">
        <f t="shared" si="106"/>
        <v>5.0096293789061498E-4</v>
      </c>
      <c r="W176" s="2"/>
      <c r="X176" s="6">
        <f t="shared" si="107"/>
        <v>1573.92</v>
      </c>
      <c r="Y176" s="2"/>
      <c r="Z176" s="7">
        <f t="shared" si="108"/>
        <v>1.3686260869565219</v>
      </c>
    </row>
    <row r="177" spans="1:26" s="24" customFormat="1" hidden="1" outlineLevel="2" x14ac:dyDescent="0.25">
      <c r="A177" s="27"/>
      <c r="B177" s="11" t="str">
        <f>CONCATENATE("          ", "6243", " - ", "PAPER SUPPLIES")</f>
        <v xml:space="preserve">          6243 - PAPER SUPPLIES</v>
      </c>
      <c r="C177" s="11"/>
      <c r="D177" s="6">
        <v>2044.69</v>
      </c>
      <c r="E177" s="2"/>
      <c r="F177" s="7">
        <f t="shared" si="101"/>
        <v>1.2802604358125012E-3</v>
      </c>
      <c r="G177" s="2"/>
      <c r="H177" s="6">
        <v>1550</v>
      </c>
      <c r="I177" s="2"/>
      <c r="J177" s="7">
        <f t="shared" si="102"/>
        <v>7.7749264140835532E-4</v>
      </c>
      <c r="K177" s="2"/>
      <c r="L177" s="6">
        <f t="shared" si="103"/>
        <v>494.69000000000005</v>
      </c>
      <c r="M177" s="2"/>
      <c r="N177" s="7">
        <f t="shared" si="104"/>
        <v>0.31915483870967748</v>
      </c>
      <c r="O177" s="11"/>
      <c r="P177" s="6">
        <v>3124.69</v>
      </c>
      <c r="Q177" s="2"/>
      <c r="R177" s="7">
        <f t="shared" si="105"/>
        <v>1.7123875101879352E-3</v>
      </c>
      <c r="S177" s="2"/>
      <c r="T177" s="6">
        <v>2300</v>
      </c>
      <c r="U177" s="2"/>
      <c r="V177" s="7">
        <f t="shared" si="106"/>
        <v>1.00192587578123E-3</v>
      </c>
      <c r="W177" s="2"/>
      <c r="X177" s="6">
        <f t="shared" si="107"/>
        <v>824.69</v>
      </c>
      <c r="Y177" s="2"/>
      <c r="Z177" s="7">
        <f t="shared" si="108"/>
        <v>0.35856086956521743</v>
      </c>
    </row>
    <row r="178" spans="1:26" s="24" customFormat="1" hidden="1" outlineLevel="2" x14ac:dyDescent="0.25">
      <c r="A178" s="27"/>
      <c r="B178" s="11" t="str">
        <f>CONCATENATE("          ", "6244", " - ", "SAFETY SUPPLY EXPENSE")</f>
        <v xml:space="preserve">          6244 - SAFETY SUPPLY EXPENSE</v>
      </c>
      <c r="C178" s="11"/>
      <c r="D178" s="6"/>
      <c r="E178" s="2"/>
      <c r="F178" s="7">
        <f t="shared" si="101"/>
        <v>0</v>
      </c>
      <c r="G178" s="2"/>
      <c r="H178" s="6">
        <v>0</v>
      </c>
      <c r="I178" s="2"/>
      <c r="J178" s="7">
        <f t="shared" si="102"/>
        <v>0</v>
      </c>
      <c r="K178" s="2"/>
      <c r="L178" s="6">
        <f t="shared" si="103"/>
        <v>0</v>
      </c>
      <c r="M178" s="2"/>
      <c r="N178" s="7">
        <f t="shared" si="104"/>
        <v>0</v>
      </c>
      <c r="O178" s="11"/>
      <c r="P178" s="6"/>
      <c r="Q178" s="2"/>
      <c r="R178" s="7">
        <f t="shared" si="105"/>
        <v>0</v>
      </c>
      <c r="S178" s="2"/>
      <c r="T178" s="6">
        <v>25</v>
      </c>
      <c r="U178" s="2"/>
      <c r="V178" s="7">
        <f t="shared" si="106"/>
        <v>1.0890498649795977E-5</v>
      </c>
      <c r="W178" s="2"/>
      <c r="X178" s="6">
        <f t="shared" si="107"/>
        <v>-25</v>
      </c>
      <c r="Y178" s="2"/>
      <c r="Z178" s="7">
        <f t="shared" si="108"/>
        <v>-1</v>
      </c>
    </row>
    <row r="179" spans="1:26" s="24" customFormat="1" hidden="1" outlineLevel="2" x14ac:dyDescent="0.25">
      <c r="A179" s="27"/>
      <c r="B179" s="11" t="str">
        <f>CONCATENATE("          ", "6245", " - ", "PRINTING")</f>
        <v xml:space="preserve">          6245 - PRINTING</v>
      </c>
      <c r="C179" s="11"/>
      <c r="D179" s="6">
        <v>1248</v>
      </c>
      <c r="E179" s="2"/>
      <c r="F179" s="7">
        <f t="shared" si="101"/>
        <v>7.8142164528314877E-4</v>
      </c>
      <c r="G179" s="2"/>
      <c r="H179" s="6">
        <v>750</v>
      </c>
      <c r="I179" s="2"/>
      <c r="J179" s="7">
        <f t="shared" si="102"/>
        <v>3.7620611681049451E-4</v>
      </c>
      <c r="K179" s="2"/>
      <c r="L179" s="6">
        <f t="shared" si="103"/>
        <v>498</v>
      </c>
      <c r="M179" s="2"/>
      <c r="N179" s="7">
        <f t="shared" si="104"/>
        <v>0.66400000000000003</v>
      </c>
      <c r="O179" s="11"/>
      <c r="P179" s="6">
        <v>-295.5</v>
      </c>
      <c r="Q179" s="2"/>
      <c r="R179" s="7">
        <f t="shared" si="105"/>
        <v>-1.6193942735456471E-4</v>
      </c>
      <c r="S179" s="2"/>
      <c r="T179" s="6">
        <v>1100</v>
      </c>
      <c r="U179" s="2"/>
      <c r="V179" s="7">
        <f t="shared" si="106"/>
        <v>4.79181940591023E-4</v>
      </c>
      <c r="W179" s="2"/>
      <c r="X179" s="6">
        <f t="shared" si="107"/>
        <v>-1395.5</v>
      </c>
      <c r="Y179" s="2"/>
      <c r="Z179" s="7">
        <f t="shared" si="108"/>
        <v>-1.2686363636363636</v>
      </c>
    </row>
    <row r="180" spans="1:26" s="24" customFormat="1" hidden="1" outlineLevel="2" x14ac:dyDescent="0.25">
      <c r="A180" s="27"/>
      <c r="B180" s="11" t="str">
        <f>CONCATENATE("          ", "6247", " - ", "STORE SUPPLIES")</f>
        <v xml:space="preserve">          6247 - STORE SUPPLIES</v>
      </c>
      <c r="C180" s="11"/>
      <c r="D180" s="6">
        <v>1810.04</v>
      </c>
      <c r="E180" s="2"/>
      <c r="F180" s="7">
        <f t="shared" si="101"/>
        <v>1.133336886881659E-3</v>
      </c>
      <c r="G180" s="2"/>
      <c r="H180" s="6">
        <v>2975</v>
      </c>
      <c r="I180" s="2"/>
      <c r="J180" s="7">
        <f t="shared" si="102"/>
        <v>1.4922842633482947E-3</v>
      </c>
      <c r="K180" s="2"/>
      <c r="L180" s="6">
        <f t="shared" si="103"/>
        <v>-1164.96</v>
      </c>
      <c r="M180" s="2"/>
      <c r="N180" s="7">
        <f t="shared" si="104"/>
        <v>-0.39158319327731095</v>
      </c>
      <c r="O180" s="11"/>
      <c r="P180" s="6">
        <v>7211.63</v>
      </c>
      <c r="Q180" s="2"/>
      <c r="R180" s="7">
        <f t="shared" si="105"/>
        <v>3.9521056937157342E-3</v>
      </c>
      <c r="S180" s="2"/>
      <c r="T180" s="6">
        <v>5600</v>
      </c>
      <c r="U180" s="2"/>
      <c r="V180" s="7">
        <f t="shared" si="106"/>
        <v>2.439471697554299E-3</v>
      </c>
      <c r="W180" s="2"/>
      <c r="X180" s="6">
        <f t="shared" si="107"/>
        <v>1611.63</v>
      </c>
      <c r="Y180" s="2"/>
      <c r="Z180" s="7">
        <f t="shared" si="108"/>
        <v>0.28779107142857147</v>
      </c>
    </row>
    <row r="181" spans="1:26" s="24" customFormat="1" hidden="1" outlineLevel="2" x14ac:dyDescent="0.25">
      <c r="A181" s="27"/>
      <c r="B181" s="11" t="str">
        <f>CONCATENATE("          ", "6248", " - ", "UNIFORMS")</f>
        <v xml:space="preserve">          6248 - UNIFORMS</v>
      </c>
      <c r="C181" s="11"/>
      <c r="D181" s="6"/>
      <c r="E181" s="2"/>
      <c r="F181" s="7">
        <f t="shared" si="101"/>
        <v>0</v>
      </c>
      <c r="G181" s="2"/>
      <c r="H181" s="6">
        <v>1600</v>
      </c>
      <c r="I181" s="2"/>
      <c r="J181" s="7">
        <f t="shared" si="102"/>
        <v>8.0257304919572161E-4</v>
      </c>
      <c r="K181" s="2"/>
      <c r="L181" s="6">
        <f t="shared" si="103"/>
        <v>-1600</v>
      </c>
      <c r="M181" s="2"/>
      <c r="N181" s="7">
        <f t="shared" si="104"/>
        <v>-1</v>
      </c>
      <c r="O181" s="11"/>
      <c r="P181" s="6"/>
      <c r="Q181" s="2"/>
      <c r="R181" s="7">
        <f t="shared" si="105"/>
        <v>0</v>
      </c>
      <c r="S181" s="2"/>
      <c r="T181" s="6">
        <v>3100</v>
      </c>
      <c r="U181" s="2"/>
      <c r="V181" s="7">
        <f t="shared" si="106"/>
        <v>1.3504218325747011E-3</v>
      </c>
      <c r="W181" s="2"/>
      <c r="X181" s="6">
        <f t="shared" si="107"/>
        <v>-3100</v>
      </c>
      <c r="Y181" s="2"/>
      <c r="Z181" s="7">
        <f t="shared" si="108"/>
        <v>-1</v>
      </c>
    </row>
    <row r="182" spans="1:26" s="29" customFormat="1" outlineLevel="1" collapsed="1" x14ac:dyDescent="0.25">
      <c r="A182" s="28"/>
      <c r="B182" s="14" t="str">
        <f>CONCATENATE("     ","Telephone/Data Lines                              ")</f>
        <v xml:space="preserve">     Telephone/Data Lines                              </v>
      </c>
      <c r="C182" s="14"/>
      <c r="D182" s="1">
        <f>SUM(OSRRefD22_21x_0)</f>
        <v>2097</v>
      </c>
      <c r="E182" s="1"/>
      <c r="F182" s="5">
        <f t="shared" ref="F182:F184" si="109">IF(D$12=0,0,D182/D$12)</f>
        <v>1.3130137741656754E-3</v>
      </c>
      <c r="G182" s="1"/>
      <c r="H182" s="1">
        <f>SUM(OSRRefH22_21x_0)</f>
        <v>2695</v>
      </c>
      <c r="I182" s="1"/>
      <c r="J182" s="5">
        <f t="shared" ref="J182:J184" si="110">IF(H$12=0,0,H182/H$12)</f>
        <v>1.3518339797390436E-3</v>
      </c>
      <c r="K182" s="1"/>
      <c r="L182" s="1">
        <f t="shared" ref="L182:L184" si="111">+D182-H182</f>
        <v>-598</v>
      </c>
      <c r="M182" s="1"/>
      <c r="N182" s="5">
        <f t="shared" ref="N182:N184" si="112">IF(H182=0,0,L182/H182)</f>
        <v>-0.22189239332096475</v>
      </c>
      <c r="O182" s="14"/>
      <c r="P182" s="1">
        <f>SUM(OSRRefP22_21x_0)</f>
        <v>4470.25</v>
      </c>
      <c r="Q182" s="1"/>
      <c r="R182" s="5">
        <f t="shared" ref="R182:R184" si="113">IF(P$12=0,0,P182/P$12)</f>
        <v>2.4497791036607207E-3</v>
      </c>
      <c r="S182" s="1"/>
      <c r="T182" s="1">
        <f>SUM(OSRRefT22_21x_0)</f>
        <v>4990</v>
      </c>
      <c r="U182" s="1"/>
      <c r="V182" s="5">
        <f t="shared" ref="V182:V184" si="114">IF(T$12=0,0,T182/T$12)</f>
        <v>2.173743530499277E-3</v>
      </c>
      <c r="W182" s="1"/>
      <c r="X182" s="1">
        <f t="shared" ref="X182:X184" si="115">+P182-T182</f>
        <v>-519.75</v>
      </c>
      <c r="Y182" s="1"/>
      <c r="Z182" s="5">
        <f t="shared" ref="Z182:Z184" si="116">IF(T182=0,0,X182/T182)</f>
        <v>-0.10415831663326654</v>
      </c>
    </row>
    <row r="183" spans="1:26" s="24" customFormat="1" hidden="1" outlineLevel="2" x14ac:dyDescent="0.25">
      <c r="A183" s="27"/>
      <c r="B183" s="11" t="str">
        <f>CONCATENATE("          ", "6303", " - ", "DATA PHONE LINES")</f>
        <v xml:space="preserve">          6303 - DATA PHONE LINES</v>
      </c>
      <c r="C183" s="11"/>
      <c r="D183" s="6"/>
      <c r="E183" s="2"/>
      <c r="F183" s="7">
        <f t="shared" si="109"/>
        <v>0</v>
      </c>
      <c r="G183" s="2"/>
      <c r="H183" s="6">
        <v>630</v>
      </c>
      <c r="I183" s="2"/>
      <c r="J183" s="7">
        <f t="shared" si="110"/>
        <v>3.1601313812081537E-4</v>
      </c>
      <c r="K183" s="2"/>
      <c r="L183" s="6">
        <f t="shared" si="111"/>
        <v>-630</v>
      </c>
      <c r="M183" s="2"/>
      <c r="N183" s="7">
        <f t="shared" si="112"/>
        <v>-1</v>
      </c>
      <c r="O183" s="11"/>
      <c r="P183" s="6">
        <v>295</v>
      </c>
      <c r="Q183" s="2"/>
      <c r="R183" s="7">
        <f t="shared" si="113"/>
        <v>1.6166541817122366E-4</v>
      </c>
      <c r="S183" s="2"/>
      <c r="T183" s="6">
        <v>1260</v>
      </c>
      <c r="U183" s="2"/>
      <c r="V183" s="7">
        <f t="shared" si="114"/>
        <v>5.488811319497173E-4</v>
      </c>
      <c r="W183" s="2"/>
      <c r="X183" s="6">
        <f t="shared" si="115"/>
        <v>-965</v>
      </c>
      <c r="Y183" s="2"/>
      <c r="Z183" s="7">
        <f t="shared" si="116"/>
        <v>-0.76587301587301593</v>
      </c>
    </row>
    <row r="184" spans="1:26" s="24" customFormat="1" hidden="1" outlineLevel="2" x14ac:dyDescent="0.25">
      <c r="A184" s="27"/>
      <c r="B184" s="11" t="str">
        <f>CONCATENATE("          ", "6309", " - ", "TELEPHONE")</f>
        <v xml:space="preserve">          6309 - TELEPHONE</v>
      </c>
      <c r="C184" s="11"/>
      <c r="D184" s="6">
        <v>2097</v>
      </c>
      <c r="E184" s="2"/>
      <c r="F184" s="7">
        <f t="shared" si="109"/>
        <v>1.3130137741656754E-3</v>
      </c>
      <c r="G184" s="2"/>
      <c r="H184" s="6">
        <v>2065</v>
      </c>
      <c r="I184" s="2"/>
      <c r="J184" s="7">
        <f t="shared" si="110"/>
        <v>1.0358208416182282E-3</v>
      </c>
      <c r="K184" s="2"/>
      <c r="L184" s="6">
        <f t="shared" si="111"/>
        <v>32</v>
      </c>
      <c r="M184" s="2"/>
      <c r="N184" s="7">
        <f t="shared" si="112"/>
        <v>1.549636803874092E-2</v>
      </c>
      <c r="O184" s="11"/>
      <c r="P184" s="6">
        <v>4175.25</v>
      </c>
      <c r="Q184" s="2"/>
      <c r="R184" s="7">
        <f t="shared" si="113"/>
        <v>2.2881136854894968E-3</v>
      </c>
      <c r="S184" s="2"/>
      <c r="T184" s="6">
        <v>3730</v>
      </c>
      <c r="U184" s="2"/>
      <c r="V184" s="7">
        <f t="shared" si="114"/>
        <v>1.6248623985495598E-3</v>
      </c>
      <c r="W184" s="2"/>
      <c r="X184" s="6">
        <f t="shared" si="115"/>
        <v>445.25</v>
      </c>
      <c r="Y184" s="2"/>
      <c r="Z184" s="7">
        <f t="shared" si="116"/>
        <v>0.11936997319034852</v>
      </c>
    </row>
    <row r="185" spans="1:26" s="29" customFormat="1" outlineLevel="1" collapsed="1" x14ac:dyDescent="0.25">
      <c r="A185" s="28"/>
      <c r="B185" s="14" t="str">
        <f>CONCATENATE("     ","Training                                          ")</f>
        <v xml:space="preserve">     Training                                          </v>
      </c>
      <c r="C185" s="14"/>
      <c r="D185" s="1">
        <f>SUM(OSRRefD22_22x_0)</f>
        <v>0</v>
      </c>
      <c r="E185" s="1"/>
      <c r="F185" s="5">
        <f t="shared" ref="F185:F190" si="117">IF(D$12=0,0,D185/D$12)</f>
        <v>0</v>
      </c>
      <c r="G185" s="1"/>
      <c r="H185" s="1">
        <f>SUM(OSRRefH22_22x_0)</f>
        <v>60</v>
      </c>
      <c r="I185" s="1"/>
      <c r="J185" s="5">
        <f t="shared" ref="J185:J190" si="118">IF(H$12=0,0,H185/H$12)</f>
        <v>3.009648934483956E-5</v>
      </c>
      <c r="K185" s="1"/>
      <c r="L185" s="1">
        <f t="shared" ref="L185:L190" si="119">+D185-H185</f>
        <v>-60</v>
      </c>
      <c r="M185" s="1"/>
      <c r="N185" s="5">
        <f t="shared" ref="N185:N190" si="120">IF(H185=0,0,L185/H185)</f>
        <v>-1</v>
      </c>
      <c r="O185" s="14"/>
      <c r="P185" s="1">
        <f>SUM(OSRRefP22_22x_0)</f>
        <v>131.63</v>
      </c>
      <c r="Q185" s="1"/>
      <c r="R185" s="5">
        <f t="shared" ref="R185:R190" si="121">IF(P$12=0,0,P185/P$12)</f>
        <v>7.2135657606366672E-5</v>
      </c>
      <c r="S185" s="1"/>
      <c r="T185" s="1">
        <f>SUM(OSRRefT22_22x_0)</f>
        <v>60</v>
      </c>
      <c r="U185" s="1"/>
      <c r="V185" s="5">
        <f t="shared" ref="V185:V190" si="122">IF(T$12=0,0,T185/T$12)</f>
        <v>2.6137196759510344E-5</v>
      </c>
      <c r="W185" s="1"/>
      <c r="X185" s="1">
        <f t="shared" ref="X185:X190" si="123">+P185-T185</f>
        <v>71.63</v>
      </c>
      <c r="Y185" s="1"/>
      <c r="Z185" s="5">
        <f t="shared" ref="Z185:Z190" si="124">IF(T185=0,0,X185/T185)</f>
        <v>1.1938333333333333</v>
      </c>
    </row>
    <row r="186" spans="1:26" s="24" customFormat="1" hidden="1" outlineLevel="2" x14ac:dyDescent="0.25">
      <c r="A186" s="27"/>
      <c r="B186" s="11" t="str">
        <f>CONCATENATE("          ", "6376", " - ", "TRAINING")</f>
        <v xml:space="preserve">          6376 - TRAINING</v>
      </c>
      <c r="C186" s="11"/>
      <c r="D186" s="6"/>
      <c r="E186" s="2"/>
      <c r="F186" s="7">
        <f t="shared" si="117"/>
        <v>0</v>
      </c>
      <c r="G186" s="2"/>
      <c r="H186" s="6">
        <v>60</v>
      </c>
      <c r="I186" s="2"/>
      <c r="J186" s="7">
        <f t="shared" si="118"/>
        <v>3.009648934483956E-5</v>
      </c>
      <c r="K186" s="2"/>
      <c r="L186" s="6">
        <f t="shared" si="119"/>
        <v>-60</v>
      </c>
      <c r="M186" s="2"/>
      <c r="N186" s="7">
        <f t="shared" si="120"/>
        <v>-1</v>
      </c>
      <c r="O186" s="11"/>
      <c r="P186" s="6">
        <v>131.63</v>
      </c>
      <c r="Q186" s="2"/>
      <c r="R186" s="7">
        <f t="shared" si="121"/>
        <v>7.2135657606366672E-5</v>
      </c>
      <c r="S186" s="2"/>
      <c r="T186" s="6">
        <v>60</v>
      </c>
      <c r="U186" s="2"/>
      <c r="V186" s="7">
        <f t="shared" si="122"/>
        <v>2.6137196759510344E-5</v>
      </c>
      <c r="W186" s="2"/>
      <c r="X186" s="6">
        <f t="shared" si="123"/>
        <v>71.63</v>
      </c>
      <c r="Y186" s="2"/>
      <c r="Z186" s="7">
        <f t="shared" si="124"/>
        <v>1.1938333333333333</v>
      </c>
    </row>
    <row r="187" spans="1:26" s="29" customFormat="1" outlineLevel="1" collapsed="1" x14ac:dyDescent="0.25">
      <c r="A187" s="28"/>
      <c r="B187" s="14" t="str">
        <f>CONCATENATE("     ","Travel                                            ")</f>
        <v xml:space="preserve">     Travel                                            </v>
      </c>
      <c r="C187" s="14"/>
      <c r="D187" s="1">
        <f>SUM(OSRRefD22_23x_0)</f>
        <v>25.76</v>
      </c>
      <c r="E187" s="1"/>
      <c r="F187" s="5">
        <f t="shared" si="117"/>
        <v>1.6129344216741916E-5</v>
      </c>
      <c r="G187" s="1"/>
      <c r="H187" s="1">
        <f>SUM(OSRRefH22_23x_0)</f>
        <v>50</v>
      </c>
      <c r="I187" s="1"/>
      <c r="J187" s="5">
        <f t="shared" si="118"/>
        <v>2.50804077873663E-5</v>
      </c>
      <c r="K187" s="1"/>
      <c r="L187" s="1">
        <f t="shared" si="119"/>
        <v>-24.24</v>
      </c>
      <c r="M187" s="1"/>
      <c r="N187" s="5">
        <f t="shared" si="120"/>
        <v>-0.48479999999999995</v>
      </c>
      <c r="O187" s="14"/>
      <c r="P187" s="1">
        <f>SUM(OSRRefP22_23x_0)</f>
        <v>300.96999999999997</v>
      </c>
      <c r="Q187" s="1"/>
      <c r="R187" s="5">
        <f t="shared" si="121"/>
        <v>1.6493708782031586E-4</v>
      </c>
      <c r="S187" s="1"/>
      <c r="T187" s="1">
        <f>SUM(OSRRefT22_23x_0)</f>
        <v>100</v>
      </c>
      <c r="U187" s="1"/>
      <c r="V187" s="5">
        <f t="shared" si="122"/>
        <v>4.3561994599183908E-5</v>
      </c>
      <c r="W187" s="1"/>
      <c r="X187" s="1">
        <f t="shared" si="123"/>
        <v>200.96999999999997</v>
      </c>
      <c r="Y187" s="1"/>
      <c r="Z187" s="5">
        <f t="shared" si="124"/>
        <v>2.0096999999999996</v>
      </c>
    </row>
    <row r="188" spans="1:26" s="24" customFormat="1" hidden="1" outlineLevel="2" x14ac:dyDescent="0.25">
      <c r="A188" s="27"/>
      <c r="B188" s="11" t="str">
        <f>CONCATENATE("          ", "6292", " - ", "TRAVEL/CONFERENCE")</f>
        <v xml:space="preserve">          6292 - TRAVEL/CONFERENCE</v>
      </c>
      <c r="C188" s="11"/>
      <c r="D188" s="6"/>
      <c r="E188" s="2"/>
      <c r="F188" s="7">
        <f t="shared" si="117"/>
        <v>0</v>
      </c>
      <c r="G188" s="2"/>
      <c r="H188" s="6"/>
      <c r="I188" s="2"/>
      <c r="J188" s="7">
        <f t="shared" si="118"/>
        <v>0</v>
      </c>
      <c r="K188" s="2"/>
      <c r="L188" s="6">
        <f t="shared" si="119"/>
        <v>0</v>
      </c>
      <c r="M188" s="2"/>
      <c r="N188" s="7">
        <f t="shared" si="120"/>
        <v>0</v>
      </c>
      <c r="O188" s="11"/>
      <c r="P188" s="6">
        <v>0.16</v>
      </c>
      <c r="Q188" s="2"/>
      <c r="R188" s="7">
        <f t="shared" si="121"/>
        <v>8.7682938669138259E-8</v>
      </c>
      <c r="S188" s="2"/>
      <c r="T188" s="6"/>
      <c r="U188" s="2"/>
      <c r="V188" s="7">
        <f t="shared" si="122"/>
        <v>0</v>
      </c>
      <c r="W188" s="2"/>
      <c r="X188" s="6">
        <f t="shared" si="123"/>
        <v>0.16</v>
      </c>
      <c r="Y188" s="2"/>
      <c r="Z188" s="7">
        <f t="shared" si="124"/>
        <v>0</v>
      </c>
    </row>
    <row r="189" spans="1:26" s="24" customFormat="1" hidden="1" outlineLevel="2" x14ac:dyDescent="0.25">
      <c r="A189" s="27"/>
      <c r="B189" s="11" t="str">
        <f>CONCATENATE("          ", "6294", " - ", "TRAVEL OPERATIONAL")</f>
        <v xml:space="preserve">          6294 - TRAVEL OPERATIONAL</v>
      </c>
      <c r="C189" s="11"/>
      <c r="D189" s="6">
        <v>25.76</v>
      </c>
      <c r="E189" s="2"/>
      <c r="F189" s="7">
        <f t="shared" si="117"/>
        <v>1.6129344216741916E-5</v>
      </c>
      <c r="G189" s="2"/>
      <c r="H189" s="6">
        <v>25</v>
      </c>
      <c r="I189" s="2"/>
      <c r="J189" s="7">
        <f t="shared" si="118"/>
        <v>1.254020389368315E-5</v>
      </c>
      <c r="K189" s="2"/>
      <c r="L189" s="6">
        <f t="shared" si="119"/>
        <v>0.76000000000000156</v>
      </c>
      <c r="M189" s="2"/>
      <c r="N189" s="7">
        <f t="shared" si="120"/>
        <v>3.0400000000000062E-2</v>
      </c>
      <c r="O189" s="11"/>
      <c r="P189" s="6">
        <v>240.92</v>
      </c>
      <c r="Q189" s="2"/>
      <c r="R189" s="7">
        <f t="shared" si="121"/>
        <v>1.3202858490105493E-4</v>
      </c>
      <c r="S189" s="2"/>
      <c r="T189" s="6">
        <v>50</v>
      </c>
      <c r="U189" s="2"/>
      <c r="V189" s="7">
        <f t="shared" si="122"/>
        <v>2.1780997299591954E-5</v>
      </c>
      <c r="W189" s="2"/>
      <c r="X189" s="6">
        <f t="shared" si="123"/>
        <v>190.92</v>
      </c>
      <c r="Y189" s="2"/>
      <c r="Z189" s="7">
        <f t="shared" si="124"/>
        <v>3.8183999999999996</v>
      </c>
    </row>
    <row r="190" spans="1:26" s="24" customFormat="1" hidden="1" outlineLevel="2" x14ac:dyDescent="0.25">
      <c r="A190" s="27"/>
      <c r="B190" s="11" t="str">
        <f>CONCATENATE("          ", "6298", " - ", "VEHICLE MILEAGE")</f>
        <v xml:space="preserve">          6298 - VEHICLE MILEAGE</v>
      </c>
      <c r="C190" s="11"/>
      <c r="D190" s="6"/>
      <c r="E190" s="2"/>
      <c r="F190" s="7">
        <f t="shared" si="117"/>
        <v>0</v>
      </c>
      <c r="G190" s="2"/>
      <c r="H190" s="6">
        <v>25</v>
      </c>
      <c r="I190" s="2"/>
      <c r="J190" s="7">
        <f t="shared" si="118"/>
        <v>1.254020389368315E-5</v>
      </c>
      <c r="K190" s="2"/>
      <c r="L190" s="6">
        <f t="shared" si="119"/>
        <v>-25</v>
      </c>
      <c r="M190" s="2"/>
      <c r="N190" s="7">
        <f t="shared" si="120"/>
        <v>-1</v>
      </c>
      <c r="O190" s="11"/>
      <c r="P190" s="6">
        <v>59.89</v>
      </c>
      <c r="Q190" s="2"/>
      <c r="R190" s="7">
        <f t="shared" si="121"/>
        <v>3.2820819980591816E-5</v>
      </c>
      <c r="S190" s="2"/>
      <c r="T190" s="6">
        <v>50</v>
      </c>
      <c r="U190" s="2"/>
      <c r="V190" s="7">
        <f t="shared" si="122"/>
        <v>2.1780997299591954E-5</v>
      </c>
      <c r="W190" s="2"/>
      <c r="X190" s="6">
        <f t="shared" si="123"/>
        <v>9.89</v>
      </c>
      <c r="Y190" s="2"/>
      <c r="Z190" s="7">
        <f t="shared" si="124"/>
        <v>0.1978</v>
      </c>
    </row>
    <row r="191" spans="1:26" s="29" customFormat="1" outlineLevel="1" collapsed="1" x14ac:dyDescent="0.25">
      <c r="A191" s="28"/>
      <c r="B191" s="14" t="str">
        <f>CONCATENATE("     ","Utilities                                         ")</f>
        <v xml:space="preserve">     Utilities                                         </v>
      </c>
      <c r="C191" s="14"/>
      <c r="D191" s="1">
        <f>SUM(OSRRefD22_24x_0)</f>
        <v>6159.91</v>
      </c>
      <c r="E191" s="1"/>
      <c r="F191" s="5">
        <f t="shared" ref="F191:F192" si="125">IF(D$12=0,0,D191/D$12)</f>
        <v>3.8569607427853532E-3</v>
      </c>
      <c r="G191" s="1"/>
      <c r="H191" s="1">
        <f>SUM(OSRRefH22_24x_0)</f>
        <v>6105</v>
      </c>
      <c r="I191" s="1"/>
      <c r="J191" s="5">
        <f t="shared" ref="J191:J192" si="126">IF(H$12=0,0,H191/H$12)</f>
        <v>3.0623177908374252E-3</v>
      </c>
      <c r="K191" s="1"/>
      <c r="L191" s="1">
        <f t="shared" ref="L191:L192" si="127">+D191-H191</f>
        <v>54.909999999999854</v>
      </c>
      <c r="M191" s="1"/>
      <c r="N191" s="5">
        <f t="shared" ref="N191:N192" si="128">IF(H191=0,0,L191/H191)</f>
        <v>8.9942669942669699E-3</v>
      </c>
      <c r="O191" s="14"/>
      <c r="P191" s="1">
        <f>SUM(OSRRefP22_24x_0)</f>
        <v>12321.37</v>
      </c>
      <c r="Q191" s="1"/>
      <c r="R191" s="5">
        <f t="shared" ref="R191:R192" si="129">IF(P$12=0,0,P191/P$12)</f>
        <v>6.7523370626860011E-3</v>
      </c>
      <c r="S191" s="1"/>
      <c r="T191" s="1">
        <f>SUM(OSRRefT22_24x_0)</f>
        <v>12210</v>
      </c>
      <c r="U191" s="1"/>
      <c r="V191" s="5">
        <f t="shared" ref="V191:V192" si="130">IF(T$12=0,0,T191/T$12)</f>
        <v>5.3189195405603552E-3</v>
      </c>
      <c r="W191" s="1"/>
      <c r="X191" s="1">
        <f t="shared" ref="X191:X192" si="131">+P191-T191</f>
        <v>111.3700000000008</v>
      </c>
      <c r="Y191" s="1"/>
      <c r="Z191" s="5">
        <f t="shared" ref="Z191:Z192" si="132">IF(T191=0,0,X191/T191)</f>
        <v>9.1212121212121862E-3</v>
      </c>
    </row>
    <row r="192" spans="1:26" s="24" customFormat="1" hidden="1" outlineLevel="2" x14ac:dyDescent="0.25">
      <c r="A192" s="27"/>
      <c r="B192" s="11" t="str">
        <f>CONCATENATE("          ", "6274", " - ", "UTILITIES")</f>
        <v xml:space="preserve">          6274 - UTILITIES</v>
      </c>
      <c r="C192" s="11"/>
      <c r="D192" s="6">
        <v>6159.91</v>
      </c>
      <c r="E192" s="2"/>
      <c r="F192" s="7">
        <f t="shared" si="125"/>
        <v>3.8569607427853532E-3</v>
      </c>
      <c r="G192" s="2"/>
      <c r="H192" s="6">
        <v>6105</v>
      </c>
      <c r="I192" s="2"/>
      <c r="J192" s="7">
        <f t="shared" si="126"/>
        <v>3.0623177908374252E-3</v>
      </c>
      <c r="K192" s="2"/>
      <c r="L192" s="6">
        <f t="shared" si="127"/>
        <v>54.909999999999854</v>
      </c>
      <c r="M192" s="2"/>
      <c r="N192" s="7">
        <f t="shared" si="128"/>
        <v>8.9942669942669699E-3</v>
      </c>
      <c r="O192" s="11"/>
      <c r="P192" s="6">
        <v>12321.37</v>
      </c>
      <c r="Q192" s="2"/>
      <c r="R192" s="7">
        <f t="shared" si="129"/>
        <v>6.7523370626860011E-3</v>
      </c>
      <c r="S192" s="2"/>
      <c r="T192" s="6">
        <v>12210</v>
      </c>
      <c r="U192" s="2"/>
      <c r="V192" s="7">
        <f t="shared" si="130"/>
        <v>5.3189195405603552E-3</v>
      </c>
      <c r="W192" s="2"/>
      <c r="X192" s="6">
        <f t="shared" si="131"/>
        <v>111.3700000000008</v>
      </c>
      <c r="Y192" s="2"/>
      <c r="Z192" s="7">
        <f t="shared" si="132"/>
        <v>9.1212121212121862E-3</v>
      </c>
    </row>
    <row r="193" spans="1:26" s="61" customFormat="1" x14ac:dyDescent="0.25">
      <c r="A193" s="36"/>
      <c r="B193" s="36"/>
      <c r="C193" s="36"/>
      <c r="D193" s="1"/>
      <c r="E193" s="1"/>
      <c r="F193" s="5"/>
      <c r="G193" s="1"/>
      <c r="H193" s="1"/>
      <c r="I193" s="1"/>
      <c r="J193" s="5"/>
      <c r="K193" s="1"/>
      <c r="L193" s="1"/>
      <c r="M193" s="1"/>
      <c r="N193" s="5"/>
      <c r="O193" s="36"/>
      <c r="P193" s="1"/>
      <c r="Q193" s="1"/>
      <c r="R193" s="5"/>
      <c r="S193" s="1"/>
      <c r="T193" s="1"/>
      <c r="U193" s="1"/>
      <c r="V193" s="5"/>
      <c r="W193" s="1"/>
      <c r="X193" s="1"/>
      <c r="Y193" s="1"/>
      <c r="Z193" s="5"/>
    </row>
    <row r="194" spans="1:26" s="22" customFormat="1" collapsed="1" x14ac:dyDescent="0.25">
      <c r="A194" s="10"/>
      <c r="B194" s="25" t="s">
        <v>0</v>
      </c>
      <c r="C194" s="10"/>
      <c r="D194" s="4">
        <f>SUM(OSRRefD25x_0)</f>
        <v>56868.1</v>
      </c>
      <c r="E194" s="4"/>
      <c r="F194" s="12">
        <f t="shared" ref="F194:F198" si="133">IF(D$12=0,0,D194/D$12)</f>
        <v>3.5607343161960438E-2</v>
      </c>
      <c r="G194" s="4"/>
      <c r="H194" s="4">
        <f>SUM(OSRRefH25x_0)</f>
        <v>37225</v>
      </c>
      <c r="I194" s="4"/>
      <c r="J194" s="12">
        <f t="shared" ref="J194:J198" si="134">IF(H$12=0,0,H194/H$12)</f>
        <v>1.8672363597694211E-2</v>
      </c>
      <c r="K194" s="4"/>
      <c r="L194" s="4">
        <f t="shared" ref="L194:L198" si="135">+D194-H194</f>
        <v>19643.099999999999</v>
      </c>
      <c r="M194" s="4"/>
      <c r="N194" s="12">
        <f t="shared" ref="N194:N198" si="136">IF(H194=0,0,L194/H194)</f>
        <v>0.52768569509738072</v>
      </c>
      <c r="O194" s="10"/>
      <c r="P194" s="4">
        <f>SUM(OSRRefP25x_0)</f>
        <v>254740.65</v>
      </c>
      <c r="Q194" s="4"/>
      <c r="R194" s="12">
        <f t="shared" ref="R194:R198" si="137">IF(P$12=0,0,P194/P$12)</f>
        <v>0.13960255494054008</v>
      </c>
      <c r="S194" s="4"/>
      <c r="T194" s="4">
        <f>SUM(OSRRefT25x_0)</f>
        <v>70150</v>
      </c>
      <c r="U194" s="4"/>
      <c r="V194" s="12">
        <f t="shared" ref="V194:V198" si="138">IF(T$12=0,0,T194/T$12)</f>
        <v>3.0558739211327512E-2</v>
      </c>
      <c r="W194" s="4"/>
      <c r="X194" s="4">
        <f t="shared" ref="X194:X198" si="139">+P194-T194</f>
        <v>184590.65</v>
      </c>
      <c r="Y194" s="4"/>
      <c r="Z194" s="12">
        <f t="shared" ref="Z194:Z198" si="140">IF(T194=0,0,X194/T194)</f>
        <v>2.6313706343549534</v>
      </c>
    </row>
    <row r="195" spans="1:26" s="24" customFormat="1" hidden="1" outlineLevel="1" x14ac:dyDescent="0.25">
      <c r="A195" s="51"/>
      <c r="B195" s="11" t="str">
        <f>CONCATENATE("          ", "9150", " - ", "MISC. INCOME")</f>
        <v xml:space="preserve">          9150 - MISC. INCOME</v>
      </c>
      <c r="C195" s="11"/>
      <c r="D195" s="2">
        <f>--56796.1</f>
        <v>56796.1</v>
      </c>
      <c r="E195" s="2"/>
      <c r="F195" s="23">
        <f t="shared" si="133"/>
        <v>3.5562261143963339E-2</v>
      </c>
      <c r="G195" s="2"/>
      <c r="H195" s="2">
        <v>22050</v>
      </c>
      <c r="I195" s="2"/>
      <c r="J195" s="23">
        <f t="shared" si="134"/>
        <v>1.1060459834228539E-2</v>
      </c>
      <c r="K195" s="2"/>
      <c r="L195" s="2">
        <f t="shared" si="135"/>
        <v>34746.1</v>
      </c>
      <c r="M195" s="2"/>
      <c r="N195" s="23">
        <f t="shared" si="136"/>
        <v>1.5757868480725623</v>
      </c>
      <c r="O195" s="11"/>
      <c r="P195" s="2">
        <f>--92530.36</f>
        <v>92530.36</v>
      </c>
      <c r="Q195" s="2"/>
      <c r="R195" s="23">
        <f t="shared" si="137"/>
        <v>5.0708336755708024E-2</v>
      </c>
      <c r="S195" s="2"/>
      <c r="T195" s="2">
        <v>39600</v>
      </c>
      <c r="U195" s="2"/>
      <c r="V195" s="23">
        <f t="shared" si="138"/>
        <v>1.7250549861276828E-2</v>
      </c>
      <c r="W195" s="2"/>
      <c r="X195" s="2">
        <f t="shared" si="139"/>
        <v>52930.36</v>
      </c>
      <c r="Y195" s="2"/>
      <c r="Z195" s="23">
        <f t="shared" si="140"/>
        <v>1.3366252525252524</v>
      </c>
    </row>
    <row r="196" spans="1:26" s="24" customFormat="1" hidden="1" outlineLevel="1" x14ac:dyDescent="0.25">
      <c r="A196" s="51"/>
      <c r="B196" s="11" t="str">
        <f>CONCATENATE("          ", "9151", " - ", "MISC. INCOME")</f>
        <v xml:space="preserve">          9151 - MISC. INCOME</v>
      </c>
      <c r="C196" s="11"/>
      <c r="D196" s="2">
        <f>0</f>
        <v>0</v>
      </c>
      <c r="E196" s="2"/>
      <c r="F196" s="23">
        <f t="shared" si="133"/>
        <v>0</v>
      </c>
      <c r="G196" s="2"/>
      <c r="H196" s="2">
        <v>15175</v>
      </c>
      <c r="I196" s="2"/>
      <c r="J196" s="23">
        <f t="shared" si="134"/>
        <v>7.6119037634656715E-3</v>
      </c>
      <c r="K196" s="2"/>
      <c r="L196" s="2">
        <f t="shared" si="135"/>
        <v>-15175</v>
      </c>
      <c r="M196" s="2"/>
      <c r="N196" s="23">
        <f t="shared" si="136"/>
        <v>-1</v>
      </c>
      <c r="O196" s="11"/>
      <c r="P196" s="2">
        <f>0</f>
        <v>0</v>
      </c>
      <c r="Q196" s="2"/>
      <c r="R196" s="23">
        <f t="shared" si="137"/>
        <v>0</v>
      </c>
      <c r="S196" s="2"/>
      <c r="T196" s="2">
        <v>30550</v>
      </c>
      <c r="U196" s="2"/>
      <c r="V196" s="23">
        <f t="shared" si="138"/>
        <v>1.3308189350050684E-2</v>
      </c>
      <c r="W196" s="2"/>
      <c r="X196" s="2">
        <f t="shared" si="139"/>
        <v>-30550</v>
      </c>
      <c r="Y196" s="2"/>
      <c r="Z196" s="23">
        <f t="shared" si="140"/>
        <v>-1</v>
      </c>
    </row>
    <row r="197" spans="1:26" s="24" customFormat="1" hidden="1" outlineLevel="1" x14ac:dyDescent="0.25">
      <c r="A197" s="51"/>
      <c r="B197" s="11" t="str">
        <f>CONCATENATE("          ", "9152", " - ", "MISC. INCOME")</f>
        <v xml:space="preserve">          9152 - MISC. INCOME</v>
      </c>
      <c r="C197" s="11"/>
      <c r="D197" s="2">
        <f>--72</f>
        <v>72</v>
      </c>
      <c r="E197" s="2"/>
      <c r="F197" s="23">
        <f t="shared" si="133"/>
        <v>4.5082017997104735E-5</v>
      </c>
      <c r="G197" s="2"/>
      <c r="H197" s="2"/>
      <c r="I197" s="2"/>
      <c r="J197" s="23">
        <f t="shared" si="134"/>
        <v>0</v>
      </c>
      <c r="K197" s="2"/>
      <c r="L197" s="2">
        <f t="shared" si="135"/>
        <v>72</v>
      </c>
      <c r="M197" s="2"/>
      <c r="N197" s="23">
        <f t="shared" si="136"/>
        <v>0</v>
      </c>
      <c r="O197" s="11"/>
      <c r="P197" s="2">
        <f>--1546.39</f>
        <v>1546.39</v>
      </c>
      <c r="Q197" s="2"/>
      <c r="R197" s="23">
        <f t="shared" si="137"/>
        <v>8.4745012205355446E-4</v>
      </c>
      <c r="S197" s="2"/>
      <c r="T197" s="2"/>
      <c r="U197" s="2"/>
      <c r="V197" s="23">
        <f t="shared" si="138"/>
        <v>0</v>
      </c>
      <c r="W197" s="2"/>
      <c r="X197" s="2">
        <f t="shared" si="139"/>
        <v>1546.39</v>
      </c>
      <c r="Y197" s="2"/>
      <c r="Z197" s="23">
        <f t="shared" si="140"/>
        <v>0</v>
      </c>
    </row>
    <row r="198" spans="1:26" s="24" customFormat="1" hidden="1" outlineLevel="1" x14ac:dyDescent="0.25">
      <c r="A198" s="51"/>
      <c r="B198" s="11" t="str">
        <f>CONCATENATE("          ", "9163", " - ", "MISC. INCOME")</f>
        <v xml:space="preserve">          9163 - MISC. INCOME</v>
      </c>
      <c r="C198" s="11"/>
      <c r="D198" s="2">
        <f>0</f>
        <v>0</v>
      </c>
      <c r="E198" s="2"/>
      <c r="F198" s="23">
        <f t="shared" si="133"/>
        <v>0</v>
      </c>
      <c r="G198" s="2"/>
      <c r="H198" s="2"/>
      <c r="I198" s="2"/>
      <c r="J198" s="23">
        <f t="shared" si="134"/>
        <v>0</v>
      </c>
      <c r="K198" s="2"/>
      <c r="L198" s="2">
        <f t="shared" si="135"/>
        <v>0</v>
      </c>
      <c r="M198" s="2"/>
      <c r="N198" s="23">
        <f t="shared" si="136"/>
        <v>0</v>
      </c>
      <c r="O198" s="11"/>
      <c r="P198" s="2">
        <f>--160663.9</f>
        <v>160663.9</v>
      </c>
      <c r="Q198" s="2"/>
      <c r="R198" s="23">
        <f t="shared" si="137"/>
        <v>8.8046768062778516E-2</v>
      </c>
      <c r="S198" s="2"/>
      <c r="T198" s="2"/>
      <c r="U198" s="2"/>
      <c r="V198" s="23">
        <f t="shared" si="138"/>
        <v>0</v>
      </c>
      <c r="W198" s="2"/>
      <c r="X198" s="2">
        <f t="shared" si="139"/>
        <v>160663.9</v>
      </c>
      <c r="Y198" s="2"/>
      <c r="Z198" s="23">
        <f t="shared" si="140"/>
        <v>0</v>
      </c>
    </row>
    <row r="199" spans="1:26" x14ac:dyDescent="0.25">
      <c r="A199" s="9"/>
      <c r="B199" s="10"/>
      <c r="C199" s="10"/>
      <c r="D199" s="3"/>
      <c r="E199" s="3"/>
      <c r="F199" s="8"/>
      <c r="G199" s="3"/>
      <c r="H199" s="3"/>
      <c r="I199" s="3"/>
      <c r="J199" s="8"/>
      <c r="K199" s="3"/>
      <c r="L199" s="3"/>
      <c r="M199" s="3"/>
      <c r="N199" s="8"/>
      <c r="O199" s="10"/>
      <c r="P199" s="3"/>
      <c r="Q199" s="3"/>
      <c r="R199" s="8"/>
      <c r="S199" s="3"/>
      <c r="T199" s="3"/>
      <c r="U199" s="3"/>
      <c r="V199" s="8"/>
      <c r="W199" s="3"/>
      <c r="X199" s="3"/>
      <c r="Y199" s="3"/>
      <c r="Z199" s="8"/>
    </row>
    <row r="200" spans="1:26" s="22" customFormat="1" x14ac:dyDescent="0.25">
      <c r="A200" s="10"/>
      <c r="B200" s="26" t="s">
        <v>3</v>
      </c>
      <c r="C200" s="26"/>
      <c r="D200" s="21">
        <f>+D95-D97+D194</f>
        <v>348646.25000000023</v>
      </c>
      <c r="E200" s="13"/>
      <c r="F200" s="20">
        <f>IF(D$12=0,0,D200/D$12)</f>
        <v>0.21830106273782066</v>
      </c>
      <c r="G200" s="13"/>
      <c r="H200" s="21">
        <f>+H95-H97+H194</f>
        <v>289597.90202388435</v>
      </c>
      <c r="I200" s="13"/>
      <c r="J200" s="20">
        <f>IF(H$12=0,0,H200/H$12)</f>
        <v>0.14526466954249542</v>
      </c>
      <c r="K200" s="16"/>
      <c r="L200" s="21">
        <f>+D200-H200</f>
        <v>59048.347976115881</v>
      </c>
      <c r="M200" s="16"/>
      <c r="N200" s="20">
        <f>IF(H200=0,0,L200/H200)</f>
        <v>0.20389770631434312</v>
      </c>
      <c r="O200" s="25"/>
      <c r="P200" s="21">
        <f>+P95-P97+P194</f>
        <v>314189.98</v>
      </c>
      <c r="Q200" s="13"/>
      <c r="R200" s="20">
        <f>IF(P$12=0,0,P200/P$12)</f>
        <v>0.17218187966748608</v>
      </c>
      <c r="S200" s="13"/>
      <c r="T200" s="21">
        <f>+T95-T97+T194</f>
        <v>82292.346288740286</v>
      </c>
      <c r="U200" s="13"/>
      <c r="V200" s="20">
        <f>IF(T$12=0,0,T200/T$12)</f>
        <v>3.5848187445842762E-2</v>
      </c>
      <c r="W200" s="16"/>
      <c r="X200" s="21">
        <f>+P200-T200</f>
        <v>231897.6337112597</v>
      </c>
      <c r="Y200" s="16"/>
      <c r="Z200" s="20">
        <f>IF(T200=0,0,X200/T200)</f>
        <v>2.817973288762448</v>
      </c>
    </row>
    <row r="201" spans="1:26" x14ac:dyDescent="0.25">
      <c r="A201" s="9"/>
      <c r="B201" s="10"/>
      <c r="C201" s="9"/>
      <c r="D201" s="3"/>
      <c r="E201" s="3"/>
      <c r="F201" s="8"/>
      <c r="G201" s="3"/>
      <c r="H201" s="3"/>
      <c r="I201" s="3"/>
      <c r="J201" s="8"/>
      <c r="K201" s="3"/>
      <c r="L201" s="3"/>
      <c r="M201" s="3"/>
      <c r="N201" s="8"/>
      <c r="P201" s="3"/>
      <c r="Q201" s="3"/>
      <c r="R201" s="8"/>
      <c r="S201" s="3"/>
      <c r="T201" s="3"/>
      <c r="U201" s="3"/>
      <c r="V201" s="8"/>
      <c r="W201" s="3"/>
      <c r="X201" s="3"/>
      <c r="Y201" s="3"/>
      <c r="Z201" s="8"/>
    </row>
    <row r="202" spans="1:26" s="22" customFormat="1" x14ac:dyDescent="0.25">
      <c r="A202" s="52"/>
      <c r="B202" s="10" t="s">
        <v>14</v>
      </c>
      <c r="C202" s="10"/>
      <c r="D202" s="4">
        <v>193432.62</v>
      </c>
      <c r="E202" s="4"/>
      <c r="F202" s="12">
        <f>IF(D$12=0,0,D202/D$12)</f>
        <v>0.12111573411204335</v>
      </c>
      <c r="G202" s="4"/>
      <c r="H202" s="4">
        <v>227969</v>
      </c>
      <c r="I202" s="4"/>
      <c r="J202" s="12">
        <f>IF(H$12=0,0,H202/H$12)</f>
        <v>0.11435110965756216</v>
      </c>
      <c r="K202" s="4"/>
      <c r="L202" s="4">
        <f>+D202-H202</f>
        <v>-34536.380000000005</v>
      </c>
      <c r="M202" s="4"/>
      <c r="N202" s="12">
        <f>IF(H202=0,0,L202/H202)</f>
        <v>-0.15149594901061111</v>
      </c>
      <c r="O202" s="10"/>
      <c r="P202" s="4">
        <v>308085.87</v>
      </c>
      <c r="Q202" s="4"/>
      <c r="R202" s="12">
        <f>IF(P$12=0,0,P202/P$12)</f>
        <v>0.16883671527523814</v>
      </c>
      <c r="S202" s="4"/>
      <c r="T202" s="4">
        <v>377249</v>
      </c>
      <c r="U202" s="4"/>
      <c r="V202" s="12">
        <f>IF(T$12=0,0,T202/T$12)</f>
        <v>0.16433718900547531</v>
      </c>
      <c r="W202" s="4"/>
      <c r="X202" s="4">
        <f>+P202-T202</f>
        <v>-69163.13</v>
      </c>
      <c r="Y202" s="4"/>
      <c r="Z202" s="12">
        <f>IF(T202=0,0,X202/T202)</f>
        <v>-0.18333548929221816</v>
      </c>
    </row>
    <row r="203" spans="1:26" x14ac:dyDescent="0.25">
      <c r="A203" s="9"/>
      <c r="B203" s="10"/>
      <c r="C203" s="10"/>
      <c r="D203" s="3"/>
      <c r="E203" s="3"/>
      <c r="F203" s="8"/>
      <c r="G203" s="3"/>
      <c r="H203" s="3"/>
      <c r="I203" s="3"/>
      <c r="J203" s="8"/>
      <c r="K203" s="3"/>
      <c r="L203" s="3"/>
      <c r="M203" s="3"/>
      <c r="N203" s="8"/>
      <c r="O203" s="10"/>
      <c r="P203" s="3"/>
      <c r="Q203" s="3"/>
      <c r="R203" s="8"/>
      <c r="S203" s="3"/>
      <c r="T203" s="3"/>
      <c r="U203" s="3"/>
      <c r="V203" s="8"/>
      <c r="W203" s="3"/>
      <c r="X203" s="3"/>
      <c r="Y203" s="3"/>
      <c r="Z203" s="8"/>
    </row>
    <row r="204" spans="1:26" s="22" customFormat="1" ht="15.75" thickBot="1" x14ac:dyDescent="0.3">
      <c r="A204" s="10"/>
      <c r="B204" s="26" t="s">
        <v>4</v>
      </c>
      <c r="C204" s="26"/>
      <c r="D204" s="33">
        <f>+D200-D202</f>
        <v>155213.63000000024</v>
      </c>
      <c r="E204" s="13"/>
      <c r="F204" s="31">
        <f>IF(D$12=0,0,D204/D$12)</f>
        <v>9.7185328625777306E-2</v>
      </c>
      <c r="G204" s="13"/>
      <c r="H204" s="33">
        <f>+H200-H202</f>
        <v>61628.902023884351</v>
      </c>
      <c r="I204" s="13"/>
      <c r="J204" s="31">
        <f>IF(H$12=0,0,H204/H$12)</f>
        <v>3.0913559884933276E-2</v>
      </c>
      <c r="K204" s="16"/>
      <c r="L204" s="33">
        <f>D204-H204</f>
        <v>93584.727976115886</v>
      </c>
      <c r="M204" s="16"/>
      <c r="N204" s="31">
        <f>IF(H204=0,0,L204/H204)</f>
        <v>1.5185201245325939</v>
      </c>
      <c r="O204" s="25"/>
      <c r="P204" s="33">
        <f>+P200-P202</f>
        <v>6104.109999999986</v>
      </c>
      <c r="Q204" s="13"/>
      <c r="R204" s="31">
        <f>IF(P$12=0,0,P204/P$12)</f>
        <v>3.3451643922479519E-3</v>
      </c>
      <c r="S204" s="13"/>
      <c r="T204" s="33">
        <f>+T200-T202</f>
        <v>-294956.65371125971</v>
      </c>
      <c r="U204" s="13"/>
      <c r="V204" s="31">
        <f>IF(T$12=0,0,T204/T$12)</f>
        <v>-0.12848900155963255</v>
      </c>
      <c r="W204" s="16"/>
      <c r="X204" s="33">
        <f>P204-T204</f>
        <v>301060.7637112597</v>
      </c>
      <c r="Y204" s="16"/>
      <c r="Z204" s="31">
        <f>IF(T204=0,0,X204/T204)</f>
        <v>-1.020694939148501</v>
      </c>
    </row>
    <row r="205" spans="1:26" ht="15.75" thickTop="1" x14ac:dyDescent="0.25">
      <c r="A205" s="9"/>
      <c r="B205" s="9"/>
      <c r="C205" s="9"/>
      <c r="D205" s="3"/>
      <c r="E205" s="3"/>
      <c r="F205" s="8"/>
      <c r="G205" s="3"/>
      <c r="H205" s="3"/>
      <c r="I205" s="3"/>
      <c r="J205" s="8"/>
      <c r="K205" s="3"/>
      <c r="L205" s="3"/>
      <c r="M205" s="3"/>
      <c r="N205" s="8"/>
      <c r="P205" s="3"/>
      <c r="Q205" s="3"/>
      <c r="R205" s="8"/>
      <c r="S205" s="3"/>
      <c r="T205" s="3"/>
      <c r="U205" s="3"/>
      <c r="V205" s="8"/>
      <c r="W205" s="3"/>
      <c r="X205" s="3"/>
      <c r="Y205" s="3"/>
      <c r="Z205" s="8"/>
    </row>
    <row r="206" spans="1:26" x14ac:dyDescent="0.25">
      <c r="A206" s="9"/>
      <c r="B206" s="9"/>
      <c r="C206" s="9"/>
      <c r="D206" s="3"/>
      <c r="E206" s="3"/>
      <c r="F206" s="8"/>
      <c r="G206" s="3"/>
      <c r="H206" s="3"/>
      <c r="I206" s="3"/>
      <c r="J206" s="8"/>
      <c r="K206" s="3"/>
      <c r="L206" s="3"/>
      <c r="M206" s="3"/>
      <c r="N206" s="8"/>
      <c r="P206" s="3"/>
      <c r="Q206" s="3"/>
      <c r="R206" s="8"/>
      <c r="S206" s="3"/>
      <c r="T206" s="3"/>
      <c r="U206" s="3"/>
      <c r="V206" s="8"/>
      <c r="W206" s="3"/>
      <c r="X206" s="3"/>
      <c r="Y206" s="3"/>
      <c r="Z206" s="8"/>
    </row>
    <row r="207" spans="1:26" s="22" customFormat="1" ht="15.75" thickBot="1" x14ac:dyDescent="0.3">
      <c r="A207" s="10"/>
      <c r="B207" s="26" t="s">
        <v>5</v>
      </c>
      <c r="C207" s="26"/>
      <c r="D207" s="32">
        <f>SUM(D204:D206)</f>
        <v>155213.63000000024</v>
      </c>
      <c r="E207" s="13"/>
      <c r="F207" s="35">
        <f>IF(D$12=0,0,D207/D$12)</f>
        <v>9.7185328625777306E-2</v>
      </c>
      <c r="G207" s="13"/>
      <c r="H207" s="32">
        <f>SUM(H204:H206)</f>
        <v>61628.902023884351</v>
      </c>
      <c r="I207" s="13"/>
      <c r="J207" s="35">
        <f>IF(H$12=0,0,H207/H$12)</f>
        <v>3.0913559884933276E-2</v>
      </c>
      <c r="K207" s="16"/>
      <c r="L207" s="32">
        <f>+D207-H207</f>
        <v>93584.727976115886</v>
      </c>
      <c r="M207" s="16"/>
      <c r="N207" s="35">
        <f>IF(H207=0,0,L207/H207)</f>
        <v>1.5185201245325939</v>
      </c>
      <c r="O207" s="25"/>
      <c r="P207" s="32">
        <f>SUM(P204:P206)</f>
        <v>6104.109999999986</v>
      </c>
      <c r="Q207" s="13"/>
      <c r="R207" s="35">
        <f>IF(P$12=0,0,P207/P$12)</f>
        <v>3.3451643922479519E-3</v>
      </c>
      <c r="S207" s="13"/>
      <c r="T207" s="32">
        <f>SUM(T204:T206)</f>
        <v>-294956.65371125971</v>
      </c>
      <c r="U207" s="13"/>
      <c r="V207" s="35">
        <f>IF(T$12=0,0,T207/T$12)</f>
        <v>-0.12848900155963255</v>
      </c>
      <c r="W207" s="16"/>
      <c r="X207" s="32">
        <f>+P207-T207</f>
        <v>301060.7637112597</v>
      </c>
      <c r="Y207" s="16"/>
      <c r="Z207" s="35">
        <f>IF(T207=0,0,X207/T207)</f>
        <v>-1.020694939148501</v>
      </c>
    </row>
    <row r="208" spans="1:26" ht="15.75" thickTop="1" x14ac:dyDescent="0.25">
      <c r="A208" s="9"/>
      <c r="C208" s="9"/>
      <c r="D208" s="18"/>
      <c r="E208" s="18"/>
      <c r="G208" s="18"/>
      <c r="H208" s="18"/>
      <c r="I208" s="18"/>
      <c r="J208" s="43"/>
      <c r="K208" s="18"/>
      <c r="L208" s="18"/>
      <c r="M208" s="18"/>
      <c r="P208" s="18"/>
      <c r="Q208" s="18"/>
      <c r="R208" s="43"/>
      <c r="S208" s="18"/>
      <c r="T208" s="18"/>
      <c r="U208" s="18"/>
      <c r="V208" s="43"/>
      <c r="W208" s="18"/>
      <c r="X208" s="18"/>
    </row>
    <row r="209" spans="1:24" x14ac:dyDescent="0.25">
      <c r="A209" s="9"/>
      <c r="B209" s="59">
        <v>44113.688886655094</v>
      </c>
      <c r="D209" s="18"/>
      <c r="E209" s="18"/>
      <c r="G209" s="18"/>
      <c r="H209" s="18"/>
      <c r="I209" s="18"/>
      <c r="J209" s="43"/>
      <c r="K209" s="18"/>
      <c r="L209" s="18"/>
      <c r="M209" s="18"/>
      <c r="P209" s="18"/>
      <c r="Q209" s="18"/>
      <c r="R209" s="43"/>
      <c r="S209" s="18"/>
      <c r="T209" s="18"/>
      <c r="U209" s="18"/>
      <c r="V209" s="43"/>
      <c r="W209" s="18"/>
      <c r="X209" s="18"/>
    </row>
    <row r="210" spans="1:24" x14ac:dyDescent="0.25">
      <c r="A210" s="9"/>
      <c r="B210" s="62" t="s">
        <v>314</v>
      </c>
      <c r="D210" s="18"/>
      <c r="E210" s="18"/>
      <c r="G210" s="18"/>
      <c r="H210" s="18"/>
      <c r="I210" s="18"/>
      <c r="J210" s="43"/>
      <c r="K210" s="18"/>
      <c r="L210" s="18"/>
      <c r="M210" s="18"/>
      <c r="P210" s="18"/>
      <c r="Q210" s="18"/>
      <c r="R210" s="43"/>
      <c r="S210" s="18"/>
      <c r="T210" s="18"/>
      <c r="U210" s="18"/>
      <c r="V210" s="43"/>
      <c r="W210" s="18"/>
      <c r="X210" s="18"/>
    </row>
    <row r="211" spans="1:24" x14ac:dyDescent="0.25">
      <c r="A211" s="9"/>
      <c r="B211" s="63"/>
      <c r="D211" s="18"/>
      <c r="E211" s="18"/>
      <c r="G211" s="18"/>
      <c r="H211" s="18"/>
      <c r="I211" s="18"/>
      <c r="J211" s="43"/>
      <c r="K211" s="18"/>
      <c r="L211" s="18"/>
      <c r="M211" s="18"/>
      <c r="P211" s="18"/>
      <c r="Q211" s="18"/>
      <c r="R211" s="43"/>
      <c r="S211" s="18"/>
      <c r="T211" s="18"/>
      <c r="U211" s="18"/>
      <c r="V211" s="43"/>
      <c r="W211" s="18"/>
      <c r="X211" s="18"/>
    </row>
    <row r="212" spans="1:24" x14ac:dyDescent="0.25">
      <c r="D212" s="18"/>
      <c r="E212" s="18"/>
      <c r="G212" s="18"/>
      <c r="H212" s="18"/>
      <c r="I212" s="18"/>
      <c r="J212" s="43"/>
      <c r="K212" s="18"/>
      <c r="L212" s="18"/>
      <c r="M212" s="18"/>
      <c r="P212" s="18"/>
      <c r="Q212" s="18"/>
      <c r="R212" s="43"/>
      <c r="S212" s="18"/>
      <c r="T212" s="18"/>
      <c r="U212" s="18"/>
      <c r="V212" s="43"/>
      <c r="W212" s="18"/>
      <c r="X212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2088760.2300000009</v>
      </c>
      <c r="E12" s="4"/>
      <c r="F12" s="12"/>
      <c r="G12" s="4"/>
      <c r="H12" s="4">
        <f>SUM(OSRRefH13x_0)</f>
        <v>2444951</v>
      </c>
      <c r="I12" s="4"/>
      <c r="J12" s="12"/>
      <c r="K12" s="4"/>
      <c r="L12" s="4">
        <f t="shared" ref="L12:L84" si="0">+D12-H12</f>
        <v>-356190.76999999909</v>
      </c>
      <c r="M12" s="4"/>
      <c r="N12" s="12">
        <f t="shared" ref="N12:N84" si="1">IF(H12=0,0,L12/H12)</f>
        <v>-0.14568421616629498</v>
      </c>
      <c r="O12" s="10"/>
      <c r="P12" s="4">
        <f>SUM(OSRRefP13x_0)</f>
        <v>2524394.5500000007</v>
      </c>
      <c r="Q12" s="4"/>
      <c r="R12" s="12"/>
      <c r="S12" s="4"/>
      <c r="T12" s="4">
        <f>SUM(OSRRefT13x_0)</f>
        <v>3080246</v>
      </c>
      <c r="U12" s="4"/>
      <c r="V12" s="12"/>
      <c r="W12" s="4"/>
      <c r="X12" s="4">
        <f t="shared" ref="X12:X84" si="2">+P12-T12</f>
        <v>-555851.44999999925</v>
      </c>
      <c r="Y12" s="4"/>
      <c r="Z12" s="12">
        <f t="shared" ref="Z12:Z84" si="3">IF(T12=0,0,X12/T12)</f>
        <v>-0.18045683688900149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-18033.67</f>
        <v>-18033.669999999998</v>
      </c>
      <c r="E13" s="2"/>
      <c r="F13" s="23"/>
      <c r="G13" s="2"/>
      <c r="H13" s="2">
        <v>2413814</v>
      </c>
      <c r="I13" s="2"/>
      <c r="J13" s="23"/>
      <c r="K13" s="2"/>
      <c r="L13" s="2">
        <f t="shared" si="0"/>
        <v>-2431847.67</v>
      </c>
      <c r="M13" s="2"/>
      <c r="N13" s="23">
        <f t="shared" si="1"/>
        <v>-1.0074710271793932</v>
      </c>
      <c r="O13" s="11"/>
      <c r="P13" s="2">
        <f>-29128.04</f>
        <v>-29128.04</v>
      </c>
      <c r="Q13" s="2"/>
      <c r="R13" s="23"/>
      <c r="S13" s="2"/>
      <c r="T13" s="2">
        <v>3036878</v>
      </c>
      <c r="U13" s="2"/>
      <c r="V13" s="23"/>
      <c r="W13" s="2"/>
      <c r="X13" s="2">
        <f t="shared" si="2"/>
        <v>-3066006.04</v>
      </c>
      <c r="Y13" s="2"/>
      <c r="Z13" s="23">
        <f t="shared" si="3"/>
        <v>-1.0095914422640619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23"/>
      <c r="G14" s="2"/>
      <c r="H14" s="2"/>
      <c r="I14" s="2"/>
      <c r="J14" s="23"/>
      <c r="K14" s="2"/>
      <c r="L14" s="2">
        <f t="shared" si="0"/>
        <v>572249.47</v>
      </c>
      <c r="M14" s="2"/>
      <c r="N14" s="23">
        <f t="shared" si="1"/>
        <v>0</v>
      </c>
      <c r="O14" s="11"/>
      <c r="P14" s="2">
        <f>--584197.32</f>
        <v>584197.31999999995</v>
      </c>
      <c r="Q14" s="2"/>
      <c r="R14" s="23"/>
      <c r="S14" s="2"/>
      <c r="T14" s="2"/>
      <c r="U14" s="2"/>
      <c r="V14" s="23"/>
      <c r="W14" s="2"/>
      <c r="X14" s="2">
        <f t="shared" si="2"/>
        <v>584197.31999999995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23"/>
      <c r="G15" s="2"/>
      <c r="H15" s="2"/>
      <c r="I15" s="2"/>
      <c r="J15" s="23"/>
      <c r="K15" s="2"/>
      <c r="L15" s="2">
        <f t="shared" si="0"/>
        <v>265582.82</v>
      </c>
      <c r="M15" s="2"/>
      <c r="N15" s="23">
        <f t="shared" si="1"/>
        <v>0</v>
      </c>
      <c r="O15" s="11"/>
      <c r="P15" s="2">
        <f>--278612.16</f>
        <v>278612.15999999997</v>
      </c>
      <c r="Q15" s="2"/>
      <c r="R15" s="23"/>
      <c r="S15" s="2"/>
      <c r="T15" s="2"/>
      <c r="U15" s="2"/>
      <c r="V15" s="23"/>
      <c r="W15" s="2"/>
      <c r="X15" s="2">
        <f t="shared" si="2"/>
        <v>278612.15999999997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0</f>
        <v>0</v>
      </c>
      <c r="E21" s="2"/>
      <c r="F21" s="23"/>
      <c r="G21" s="2"/>
      <c r="H21" s="2"/>
      <c r="I21" s="2"/>
      <c r="J21" s="23"/>
      <c r="K21" s="2"/>
      <c r="L21" s="2">
        <f t="shared" si="0"/>
        <v>0</v>
      </c>
      <c r="M21" s="2"/>
      <c r="N21" s="23">
        <f t="shared" si="1"/>
        <v>0</v>
      </c>
      <c r="O21" s="11"/>
      <c r="P21" s="2">
        <f>--236.56</f>
        <v>236.56</v>
      </c>
      <c r="Q21" s="2"/>
      <c r="R21" s="23"/>
      <c r="S21" s="2"/>
      <c r="T21" s="2"/>
      <c r="U21" s="2"/>
      <c r="V21" s="23"/>
      <c r="W21" s="2"/>
      <c r="X21" s="2">
        <f t="shared" si="2"/>
        <v>236.56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--20247.89</f>
        <v>20247.89</v>
      </c>
      <c r="E22" s="2"/>
      <c r="F22" s="23"/>
      <c r="G22" s="2"/>
      <c r="H22" s="2"/>
      <c r="I22" s="2"/>
      <c r="J22" s="23"/>
      <c r="K22" s="2"/>
      <c r="L22" s="2">
        <f t="shared" si="0"/>
        <v>20247.89</v>
      </c>
      <c r="M22" s="2"/>
      <c r="N22" s="23">
        <f t="shared" si="1"/>
        <v>0</v>
      </c>
      <c r="O22" s="11"/>
      <c r="P22" s="2">
        <f>--21901.06</f>
        <v>21901.06</v>
      </c>
      <c r="Q22" s="2"/>
      <c r="R22" s="23"/>
      <c r="S22" s="2"/>
      <c r="T22" s="2"/>
      <c r="U22" s="2"/>
      <c r="V22" s="23"/>
      <c r="W22" s="2"/>
      <c r="X22" s="2">
        <f t="shared" si="2"/>
        <v>21901.06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--9671.25</f>
        <v>9671.25</v>
      </c>
      <c r="E23" s="2"/>
      <c r="F23" s="23"/>
      <c r="G23" s="2"/>
      <c r="H23" s="2"/>
      <c r="I23" s="2"/>
      <c r="J23" s="23"/>
      <c r="K23" s="2"/>
      <c r="L23" s="2">
        <f t="shared" si="0"/>
        <v>9671.25</v>
      </c>
      <c r="M23" s="2"/>
      <c r="N23" s="23">
        <f t="shared" si="1"/>
        <v>0</v>
      </c>
      <c r="O23" s="11"/>
      <c r="P23" s="2">
        <f>--9691.1</f>
        <v>9691.1</v>
      </c>
      <c r="Q23" s="2"/>
      <c r="R23" s="23"/>
      <c r="S23" s="2"/>
      <c r="T23" s="2"/>
      <c r="U23" s="2"/>
      <c r="V23" s="23"/>
      <c r="W23" s="2"/>
      <c r="X23" s="2">
        <f t="shared" si="2"/>
        <v>9691.1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--532.51</f>
        <v>532.51</v>
      </c>
      <c r="E24" s="2"/>
      <c r="F24" s="23"/>
      <c r="G24" s="2"/>
      <c r="H24" s="2"/>
      <c r="I24" s="2"/>
      <c r="J24" s="23"/>
      <c r="K24" s="2"/>
      <c r="L24" s="2">
        <f t="shared" si="0"/>
        <v>532.51</v>
      </c>
      <c r="M24" s="2"/>
      <c r="N24" s="23">
        <f t="shared" si="1"/>
        <v>0</v>
      </c>
      <c r="O24" s="11"/>
      <c r="P24" s="2">
        <f>--552.26</f>
        <v>552.26</v>
      </c>
      <c r="Q24" s="2"/>
      <c r="R24" s="23"/>
      <c r="S24" s="2"/>
      <c r="T24" s="2"/>
      <c r="U24" s="2"/>
      <c r="V24" s="23"/>
      <c r="W24" s="2"/>
      <c r="X24" s="2">
        <f t="shared" si="2"/>
        <v>552.26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3"/>
      <c r="G25" s="2"/>
      <c r="H25" s="2"/>
      <c r="I25" s="2"/>
      <c r="J25" s="23"/>
      <c r="K25" s="2"/>
      <c r="L25" s="2">
        <f t="shared" si="0"/>
        <v>0</v>
      </c>
      <c r="M25" s="2"/>
      <c r="N25" s="23">
        <f t="shared" si="1"/>
        <v>0</v>
      </c>
      <c r="O25" s="11"/>
      <c r="P25" s="2">
        <f>--6.78</f>
        <v>6.78</v>
      </c>
      <c r="Q25" s="2"/>
      <c r="R25" s="23"/>
      <c r="S25" s="2"/>
      <c r="T25" s="2"/>
      <c r="U25" s="2"/>
      <c r="V25" s="23"/>
      <c r="W25" s="2"/>
      <c r="X25" s="2">
        <f t="shared" si="2"/>
        <v>6.78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--177286.09</f>
        <v>177286.09</v>
      </c>
      <c r="E26" s="2"/>
      <c r="F26" s="23"/>
      <c r="G26" s="2"/>
      <c r="H26" s="2"/>
      <c r="I26" s="2"/>
      <c r="J26" s="23"/>
      <c r="K26" s="2"/>
      <c r="L26" s="2">
        <f t="shared" si="0"/>
        <v>177286.09</v>
      </c>
      <c r="M26" s="2"/>
      <c r="N26" s="23">
        <f t="shared" si="1"/>
        <v>0</v>
      </c>
      <c r="O26" s="11"/>
      <c r="P26" s="2">
        <f>--249578.35</f>
        <v>249578.35</v>
      </c>
      <c r="Q26" s="2"/>
      <c r="R26" s="23"/>
      <c r="S26" s="2"/>
      <c r="T26" s="2"/>
      <c r="U26" s="2"/>
      <c r="V26" s="23"/>
      <c r="W26" s="2"/>
      <c r="X26" s="2">
        <f t="shared" si="2"/>
        <v>249578.35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--82120.65</f>
        <v>82120.649999999994</v>
      </c>
      <c r="E27" s="2"/>
      <c r="F27" s="23"/>
      <c r="G27" s="2"/>
      <c r="H27" s="2"/>
      <c r="I27" s="2"/>
      <c r="J27" s="23"/>
      <c r="K27" s="2"/>
      <c r="L27" s="2">
        <f t="shared" si="0"/>
        <v>82120.649999999994</v>
      </c>
      <c r="M27" s="2"/>
      <c r="N27" s="23">
        <f t="shared" si="1"/>
        <v>0</v>
      </c>
      <c r="O27" s="11"/>
      <c r="P27" s="2">
        <f>--103309.56</f>
        <v>103309.56</v>
      </c>
      <c r="Q27" s="2"/>
      <c r="R27" s="23"/>
      <c r="S27" s="2"/>
      <c r="T27" s="2"/>
      <c r="U27" s="2"/>
      <c r="V27" s="23"/>
      <c r="W27" s="2"/>
      <c r="X27" s="2">
        <f t="shared" si="2"/>
        <v>103309.56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--30421.14</f>
        <v>30421.14</v>
      </c>
      <c r="E28" s="2"/>
      <c r="F28" s="23"/>
      <c r="G28" s="2"/>
      <c r="H28" s="2"/>
      <c r="I28" s="2"/>
      <c r="J28" s="23"/>
      <c r="K28" s="2"/>
      <c r="L28" s="2">
        <f t="shared" si="0"/>
        <v>30421.14</v>
      </c>
      <c r="M28" s="2"/>
      <c r="N28" s="23">
        <f t="shared" si="1"/>
        <v>0</v>
      </c>
      <c r="O28" s="11"/>
      <c r="P28" s="2">
        <f>--39925.04</f>
        <v>39925.040000000001</v>
      </c>
      <c r="Q28" s="2"/>
      <c r="R28" s="23"/>
      <c r="S28" s="2"/>
      <c r="T28" s="2"/>
      <c r="U28" s="2"/>
      <c r="V28" s="23"/>
      <c r="W28" s="2"/>
      <c r="X28" s="2">
        <f t="shared" si="2"/>
        <v>39925.040000000001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--6768.27</f>
        <v>6768.27</v>
      </c>
      <c r="E29" s="2"/>
      <c r="F29" s="23"/>
      <c r="G29" s="2"/>
      <c r="H29" s="2"/>
      <c r="I29" s="2"/>
      <c r="J29" s="23"/>
      <c r="K29" s="2"/>
      <c r="L29" s="2">
        <f t="shared" si="0"/>
        <v>6768.27</v>
      </c>
      <c r="M29" s="2"/>
      <c r="N29" s="23">
        <f t="shared" si="1"/>
        <v>0</v>
      </c>
      <c r="O29" s="11"/>
      <c r="P29" s="2">
        <f>--6985.63</f>
        <v>6985.63</v>
      </c>
      <c r="Q29" s="2"/>
      <c r="R29" s="23"/>
      <c r="S29" s="2"/>
      <c r="T29" s="2"/>
      <c r="U29" s="2"/>
      <c r="V29" s="23"/>
      <c r="W29" s="2"/>
      <c r="X29" s="2">
        <f t="shared" si="2"/>
        <v>6985.63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--6568.52</f>
        <v>6568.52</v>
      </c>
      <c r="E30" s="2"/>
      <c r="F30" s="23"/>
      <c r="G30" s="2"/>
      <c r="H30" s="2"/>
      <c r="I30" s="2"/>
      <c r="J30" s="23"/>
      <c r="K30" s="2"/>
      <c r="L30" s="2">
        <f t="shared" si="0"/>
        <v>6568.52</v>
      </c>
      <c r="M30" s="2"/>
      <c r="N30" s="23">
        <f t="shared" si="1"/>
        <v>0</v>
      </c>
      <c r="O30" s="11"/>
      <c r="P30" s="2">
        <f>--8369.2</f>
        <v>8369.2000000000007</v>
      </c>
      <c r="Q30" s="2"/>
      <c r="R30" s="23"/>
      <c r="S30" s="2"/>
      <c r="T30" s="2"/>
      <c r="U30" s="2"/>
      <c r="V30" s="23"/>
      <c r="W30" s="2"/>
      <c r="X30" s="2">
        <f t="shared" si="2"/>
        <v>8369.2000000000007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--46004.35</f>
        <v>46004.35</v>
      </c>
      <c r="E31" s="2"/>
      <c r="F31" s="23"/>
      <c r="G31" s="2"/>
      <c r="H31" s="2"/>
      <c r="I31" s="2"/>
      <c r="J31" s="23"/>
      <c r="K31" s="2"/>
      <c r="L31" s="2">
        <f t="shared" si="0"/>
        <v>46004.35</v>
      </c>
      <c r="M31" s="2"/>
      <c r="N31" s="23">
        <f t="shared" si="1"/>
        <v>0</v>
      </c>
      <c r="O31" s="11"/>
      <c r="P31" s="2">
        <f>--89431.08</f>
        <v>89431.08</v>
      </c>
      <c r="Q31" s="2"/>
      <c r="R31" s="23"/>
      <c r="S31" s="2"/>
      <c r="T31" s="2"/>
      <c r="U31" s="2"/>
      <c r="V31" s="23"/>
      <c r="W31" s="2"/>
      <c r="X31" s="2">
        <f t="shared" si="2"/>
        <v>89431.08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--16305.86</f>
        <v>16305.86</v>
      </c>
      <c r="E32" s="2"/>
      <c r="F32" s="23"/>
      <c r="G32" s="2"/>
      <c r="H32" s="2"/>
      <c r="I32" s="2"/>
      <c r="J32" s="23"/>
      <c r="K32" s="2"/>
      <c r="L32" s="2">
        <f t="shared" si="0"/>
        <v>16305.86</v>
      </c>
      <c r="M32" s="2"/>
      <c r="N32" s="23">
        <f t="shared" si="1"/>
        <v>0</v>
      </c>
      <c r="O32" s="11"/>
      <c r="P32" s="2">
        <f>--37863.02</f>
        <v>37863.019999999997</v>
      </c>
      <c r="Q32" s="2"/>
      <c r="R32" s="23"/>
      <c r="S32" s="2"/>
      <c r="T32" s="2"/>
      <c r="U32" s="2"/>
      <c r="V32" s="23"/>
      <c r="W32" s="2"/>
      <c r="X32" s="2">
        <f t="shared" si="2"/>
        <v>37863.019999999997</v>
      </c>
      <c r="Y32" s="2"/>
      <c r="Z32" s="23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--403983.14</f>
        <v>403983.14</v>
      </c>
      <c r="E33" s="2"/>
      <c r="F33" s="23"/>
      <c r="G33" s="2"/>
      <c r="H33" s="2"/>
      <c r="I33" s="2"/>
      <c r="J33" s="23"/>
      <c r="K33" s="2"/>
      <c r="L33" s="2">
        <f t="shared" si="0"/>
        <v>403983.14</v>
      </c>
      <c r="M33" s="2"/>
      <c r="N33" s="23">
        <f t="shared" si="1"/>
        <v>0</v>
      </c>
      <c r="O33" s="11"/>
      <c r="P33" s="2">
        <f>--541212.01</f>
        <v>541212.01</v>
      </c>
      <c r="Q33" s="2"/>
      <c r="R33" s="23"/>
      <c r="S33" s="2"/>
      <c r="T33" s="2"/>
      <c r="U33" s="2"/>
      <c r="V33" s="23"/>
      <c r="W33" s="2"/>
      <c r="X33" s="2">
        <f t="shared" si="2"/>
        <v>541212.01</v>
      </c>
      <c r="Y33" s="2"/>
      <c r="Z33" s="23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--42925.21</f>
        <v>42925.21</v>
      </c>
      <c r="E34" s="2"/>
      <c r="F34" s="23"/>
      <c r="G34" s="2"/>
      <c r="H34" s="2"/>
      <c r="I34" s="2"/>
      <c r="J34" s="23"/>
      <c r="K34" s="2"/>
      <c r="L34" s="2">
        <f t="shared" si="0"/>
        <v>42925.21</v>
      </c>
      <c r="M34" s="2"/>
      <c r="N34" s="23">
        <f t="shared" si="1"/>
        <v>0</v>
      </c>
      <c r="O34" s="11"/>
      <c r="P34" s="2">
        <f>--49715.36</f>
        <v>49715.360000000001</v>
      </c>
      <c r="Q34" s="2"/>
      <c r="R34" s="23"/>
      <c r="S34" s="2"/>
      <c r="T34" s="2"/>
      <c r="U34" s="2"/>
      <c r="V34" s="23"/>
      <c r="W34" s="2"/>
      <c r="X34" s="2">
        <f t="shared" si="2"/>
        <v>49715.360000000001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--129</f>
        <v>129</v>
      </c>
      <c r="E35" s="2"/>
      <c r="F35" s="23"/>
      <c r="G35" s="2"/>
      <c r="H35" s="2"/>
      <c r="I35" s="2"/>
      <c r="J35" s="23"/>
      <c r="K35" s="2"/>
      <c r="L35" s="2">
        <f t="shared" si="0"/>
        <v>129</v>
      </c>
      <c r="M35" s="2"/>
      <c r="N35" s="23">
        <f t="shared" si="1"/>
        <v>0</v>
      </c>
      <c r="O35" s="11"/>
      <c r="P35" s="2">
        <f>--129</f>
        <v>129</v>
      </c>
      <c r="Q35" s="2"/>
      <c r="R35" s="23"/>
      <c r="S35" s="2"/>
      <c r="T35" s="2"/>
      <c r="U35" s="2"/>
      <c r="V35" s="23"/>
      <c r="W35" s="2"/>
      <c r="X35" s="2">
        <f t="shared" si="2"/>
        <v>129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--1308.27</f>
        <v>1308.27</v>
      </c>
      <c r="E36" s="2"/>
      <c r="F36" s="23"/>
      <c r="G36" s="2"/>
      <c r="H36" s="2"/>
      <c r="I36" s="2"/>
      <c r="J36" s="23"/>
      <c r="K36" s="2"/>
      <c r="L36" s="2">
        <f t="shared" si="0"/>
        <v>1308.27</v>
      </c>
      <c r="M36" s="2"/>
      <c r="N36" s="23">
        <f t="shared" si="1"/>
        <v>0</v>
      </c>
      <c r="O36" s="11"/>
      <c r="P36" s="2">
        <f>--27267.48</f>
        <v>27267.48</v>
      </c>
      <c r="Q36" s="2"/>
      <c r="R36" s="23"/>
      <c r="S36" s="2"/>
      <c r="T36" s="2"/>
      <c r="U36" s="2"/>
      <c r="V36" s="23"/>
      <c r="W36" s="2"/>
      <c r="X36" s="2">
        <f t="shared" si="2"/>
        <v>27267.48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--150360.03</f>
        <v>150360.03</v>
      </c>
      <c r="E37" s="2"/>
      <c r="F37" s="23"/>
      <c r="G37" s="2"/>
      <c r="H37" s="2">
        <v>31137</v>
      </c>
      <c r="I37" s="2"/>
      <c r="J37" s="23"/>
      <c r="K37" s="2"/>
      <c r="L37" s="2">
        <f t="shared" si="0"/>
        <v>119223.03</v>
      </c>
      <c r="M37" s="2"/>
      <c r="N37" s="23">
        <f t="shared" si="1"/>
        <v>3.8289825609403603</v>
      </c>
      <c r="O37" s="11"/>
      <c r="P37" s="2">
        <f>--153398.33</f>
        <v>153398.32999999999</v>
      </c>
      <c r="Q37" s="2"/>
      <c r="R37" s="23"/>
      <c r="S37" s="2"/>
      <c r="T37" s="2">
        <v>43368</v>
      </c>
      <c r="U37" s="2"/>
      <c r="V37" s="23"/>
      <c r="W37" s="2"/>
      <c r="X37" s="2">
        <f t="shared" si="2"/>
        <v>110030.32999999999</v>
      </c>
      <c r="Y37" s="2"/>
      <c r="Z37" s="23">
        <f t="shared" si="3"/>
        <v>2.5371317561335545</v>
      </c>
    </row>
    <row r="38" spans="1:26" s="24" customFormat="1" hidden="1" outlineLevel="1" x14ac:dyDescent="0.2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--41238.82</f>
        <v>41238.82</v>
      </c>
      <c r="E38" s="2"/>
      <c r="F38" s="23"/>
      <c r="G38" s="2"/>
      <c r="H38" s="2"/>
      <c r="I38" s="2"/>
      <c r="J38" s="23"/>
      <c r="K38" s="2"/>
      <c r="L38" s="2">
        <f t="shared" si="0"/>
        <v>41238.82</v>
      </c>
      <c r="M38" s="2"/>
      <c r="N38" s="23">
        <f t="shared" si="1"/>
        <v>0</v>
      </c>
      <c r="O38" s="11"/>
      <c r="P38" s="2">
        <f>--51580.68</f>
        <v>51580.68</v>
      </c>
      <c r="Q38" s="2"/>
      <c r="R38" s="23"/>
      <c r="S38" s="2"/>
      <c r="T38" s="2"/>
      <c r="U38" s="2"/>
      <c r="V38" s="23"/>
      <c r="W38" s="2"/>
      <c r="X38" s="2">
        <f t="shared" si="2"/>
        <v>51580.68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--17373.3</f>
        <v>17373.3</v>
      </c>
      <c r="E39" s="2"/>
      <c r="F39" s="23"/>
      <c r="G39" s="2"/>
      <c r="H39" s="2"/>
      <c r="I39" s="2"/>
      <c r="J39" s="23"/>
      <c r="K39" s="2"/>
      <c r="L39" s="2">
        <f t="shared" si="0"/>
        <v>17373.3</v>
      </c>
      <c r="M39" s="2"/>
      <c r="N39" s="23">
        <f t="shared" si="1"/>
        <v>0</v>
      </c>
      <c r="O39" s="11"/>
      <c r="P39" s="2">
        <f>--21563.74</f>
        <v>21563.74</v>
      </c>
      <c r="Q39" s="2"/>
      <c r="R39" s="23"/>
      <c r="S39" s="2"/>
      <c r="T39" s="2"/>
      <c r="U39" s="2"/>
      <c r="V39" s="23"/>
      <c r="W39" s="2"/>
      <c r="X39" s="2">
        <f t="shared" si="2"/>
        <v>21563.74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>--205404.66</f>
        <v>205404.66</v>
      </c>
      <c r="E40" s="2"/>
      <c r="F40" s="23"/>
      <c r="G40" s="2"/>
      <c r="H40" s="2"/>
      <c r="I40" s="2"/>
      <c r="J40" s="23"/>
      <c r="K40" s="2"/>
      <c r="L40" s="2">
        <f t="shared" si="0"/>
        <v>205404.66</v>
      </c>
      <c r="M40" s="2"/>
      <c r="N40" s="23">
        <f t="shared" si="1"/>
        <v>0</v>
      </c>
      <c r="O40" s="11"/>
      <c r="P40" s="2">
        <f>--212890.18</f>
        <v>212890.18</v>
      </c>
      <c r="Q40" s="2"/>
      <c r="R40" s="23"/>
      <c r="S40" s="2"/>
      <c r="T40" s="2"/>
      <c r="U40" s="2"/>
      <c r="V40" s="23"/>
      <c r="W40" s="2"/>
      <c r="X40" s="2">
        <f t="shared" si="2"/>
        <v>212890.18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"4118", " - ", "NON-TAXABLE SALES-STUDY GUIDES")</f>
        <v xml:space="preserve">          4118 - NON-TAXABLE SALES-STUDY GUIDES</v>
      </c>
      <c r="C41" s="11"/>
      <c r="D41" s="2">
        <f>--47.87</f>
        <v>47.87</v>
      </c>
      <c r="E41" s="2"/>
      <c r="F41" s="23"/>
      <c r="G41" s="2"/>
      <c r="H41" s="2"/>
      <c r="I41" s="2"/>
      <c r="J41" s="23"/>
      <c r="K41" s="2"/>
      <c r="L41" s="2">
        <f t="shared" si="0"/>
        <v>47.87</v>
      </c>
      <c r="M41" s="2"/>
      <c r="N41" s="23">
        <f t="shared" si="1"/>
        <v>0</v>
      </c>
      <c r="O41" s="11"/>
      <c r="P41" s="2">
        <f>--101.83</f>
        <v>101.83</v>
      </c>
      <c r="Q41" s="2"/>
      <c r="R41" s="23"/>
      <c r="S41" s="2"/>
      <c r="T41" s="2"/>
      <c r="U41" s="2"/>
      <c r="V41" s="23"/>
      <c r="W41" s="2"/>
      <c r="X41" s="2">
        <f t="shared" si="2"/>
        <v>101.83</v>
      </c>
      <c r="Y41" s="2"/>
      <c r="Z41" s="23">
        <f t="shared" si="3"/>
        <v>0</v>
      </c>
    </row>
    <row r="42" spans="1:26" s="24" customFormat="1" hidden="1" outlineLevel="1" x14ac:dyDescent="0.25">
      <c r="A42" s="51"/>
      <c r="B42" s="11" t="str">
        <f>CONCATENATE("          ", "4126", " - ", "NON-TAXABLE SALES-WRITING INST")</f>
        <v xml:space="preserve">          4126 - NON-TAXABLE SALES-WRITING INST</v>
      </c>
      <c r="C42" s="11"/>
      <c r="D42" s="2">
        <f>0</f>
        <v>0</v>
      </c>
      <c r="E42" s="2"/>
      <c r="F42" s="23"/>
      <c r="G42" s="2"/>
      <c r="H42" s="2"/>
      <c r="I42" s="2"/>
      <c r="J42" s="23"/>
      <c r="K42" s="2"/>
      <c r="L42" s="2">
        <f t="shared" si="0"/>
        <v>0</v>
      </c>
      <c r="M42" s="2"/>
      <c r="N42" s="23">
        <f t="shared" si="1"/>
        <v>0</v>
      </c>
      <c r="O42" s="11"/>
      <c r="P42" s="2">
        <f>--52.68</f>
        <v>52.68</v>
      </c>
      <c r="Q42" s="2"/>
      <c r="R42" s="23"/>
      <c r="S42" s="2"/>
      <c r="T42" s="2"/>
      <c r="U42" s="2"/>
      <c r="V42" s="23"/>
      <c r="W42" s="2"/>
      <c r="X42" s="2">
        <f t="shared" si="2"/>
        <v>52.68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"4127", " - ", "NON-TAXABLE SALES-SCHOOL SUPPL")</f>
        <v xml:space="preserve">          4127 - NON-TAXABLE SALES-SCHOOL SUPPL</v>
      </c>
      <c r="C43" s="11"/>
      <c r="D43" s="2">
        <f>--1788.16</f>
        <v>1788.16</v>
      </c>
      <c r="E43" s="2"/>
      <c r="F43" s="23"/>
      <c r="G43" s="2"/>
      <c r="H43" s="2"/>
      <c r="I43" s="2"/>
      <c r="J43" s="23"/>
      <c r="K43" s="2"/>
      <c r="L43" s="2">
        <f t="shared" si="0"/>
        <v>1788.16</v>
      </c>
      <c r="M43" s="2"/>
      <c r="N43" s="23">
        <f t="shared" si="1"/>
        <v>0</v>
      </c>
      <c r="O43" s="11"/>
      <c r="P43" s="2">
        <f>--1860.41</f>
        <v>1860.41</v>
      </c>
      <c r="Q43" s="2"/>
      <c r="R43" s="23"/>
      <c r="S43" s="2"/>
      <c r="T43" s="2"/>
      <c r="U43" s="2"/>
      <c r="V43" s="23"/>
      <c r="W43" s="2"/>
      <c r="X43" s="2">
        <f t="shared" si="2"/>
        <v>1860.41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"4131", " - ", "NON-TAXABLE SALES-FOOD")</f>
        <v xml:space="preserve">          4131 - NON-TAXABLE SALES-FOOD</v>
      </c>
      <c r="C44" s="11"/>
      <c r="D44" s="2">
        <f>--1575.79</f>
        <v>1575.79</v>
      </c>
      <c r="E44" s="2"/>
      <c r="F44" s="23"/>
      <c r="G44" s="2"/>
      <c r="H44" s="2"/>
      <c r="I44" s="2"/>
      <c r="J44" s="23"/>
      <c r="K44" s="2"/>
      <c r="L44" s="2">
        <f t="shared" si="0"/>
        <v>1575.79</v>
      </c>
      <c r="M44" s="2"/>
      <c r="N44" s="23">
        <f t="shared" si="1"/>
        <v>0</v>
      </c>
      <c r="O44" s="11"/>
      <c r="P44" s="2">
        <f>--1835.22</f>
        <v>1835.22</v>
      </c>
      <c r="Q44" s="2"/>
      <c r="R44" s="23"/>
      <c r="S44" s="2"/>
      <c r="T44" s="2"/>
      <c r="U44" s="2"/>
      <c r="V44" s="23"/>
      <c r="W44" s="2"/>
      <c r="X44" s="2">
        <f t="shared" si="2"/>
        <v>1835.22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"4132", " - ", "NON-TAXABLE SALES-JUICE")</f>
        <v xml:space="preserve">          4132 - NON-TAXABLE SALES-JUICE</v>
      </c>
      <c r="C45" s="11"/>
      <c r="D45" s="2">
        <f>0</f>
        <v>0</v>
      </c>
      <c r="E45" s="2"/>
      <c r="F45" s="23"/>
      <c r="G45" s="2"/>
      <c r="H45" s="2"/>
      <c r="I45" s="2"/>
      <c r="J45" s="23"/>
      <c r="K45" s="2"/>
      <c r="L45" s="2">
        <f t="shared" si="0"/>
        <v>0</v>
      </c>
      <c r="M45" s="2"/>
      <c r="N45" s="23">
        <f t="shared" si="1"/>
        <v>0</v>
      </c>
      <c r="O45" s="11"/>
      <c r="P45" s="2">
        <f>--22.49</f>
        <v>22.49</v>
      </c>
      <c r="Q45" s="2"/>
      <c r="R45" s="23"/>
      <c r="S45" s="2"/>
      <c r="T45" s="2"/>
      <c r="U45" s="2"/>
      <c r="V45" s="23"/>
      <c r="W45" s="2"/>
      <c r="X45" s="2">
        <f t="shared" si="2"/>
        <v>22.49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"4133", " - ", "NON-TAXABLE SALES-CANDY")</f>
        <v xml:space="preserve">          4133 - NON-TAXABLE SALES-CANDY</v>
      </c>
      <c r="C46" s="11"/>
      <c r="D46" s="2">
        <f>--12.43</f>
        <v>12.43</v>
      </c>
      <c r="E46" s="2"/>
      <c r="F46" s="23"/>
      <c r="G46" s="2"/>
      <c r="H46" s="2"/>
      <c r="I46" s="2"/>
      <c r="J46" s="23"/>
      <c r="K46" s="2"/>
      <c r="L46" s="2">
        <f t="shared" si="0"/>
        <v>12.43</v>
      </c>
      <c r="M46" s="2"/>
      <c r="N46" s="23">
        <f t="shared" si="1"/>
        <v>0</v>
      </c>
      <c r="O46" s="11"/>
      <c r="P46" s="2">
        <f>--80.71</f>
        <v>80.709999999999994</v>
      </c>
      <c r="Q46" s="2"/>
      <c r="R46" s="23"/>
      <c r="S46" s="2"/>
      <c r="T46" s="2"/>
      <c r="U46" s="2"/>
      <c r="V46" s="23"/>
      <c r="W46" s="2"/>
      <c r="X46" s="2">
        <f t="shared" si="2"/>
        <v>80.709999999999994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"4134", " - ", "NON-TAXABLE SALES-SODA")</f>
        <v xml:space="preserve">          4134 - NON-TAXABLE SALES-SODA</v>
      </c>
      <c r="C47" s="11"/>
      <c r="D47" s="2">
        <f t="shared" ref="D47:D48" si="4">0</f>
        <v>0</v>
      </c>
      <c r="E47" s="2"/>
      <c r="F47" s="23"/>
      <c r="G47" s="2"/>
      <c r="H47" s="2"/>
      <c r="I47" s="2"/>
      <c r="J47" s="23"/>
      <c r="K47" s="2"/>
      <c r="L47" s="2">
        <f t="shared" si="0"/>
        <v>0</v>
      </c>
      <c r="M47" s="2"/>
      <c r="N47" s="23">
        <f t="shared" si="1"/>
        <v>0</v>
      </c>
      <c r="O47" s="11"/>
      <c r="P47" s="2">
        <f>--45.53</f>
        <v>45.53</v>
      </c>
      <c r="Q47" s="2"/>
      <c r="R47" s="23"/>
      <c r="S47" s="2"/>
      <c r="T47" s="2"/>
      <c r="U47" s="2"/>
      <c r="V47" s="23"/>
      <c r="W47" s="2"/>
      <c r="X47" s="2">
        <f t="shared" si="2"/>
        <v>45.53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4"/>
        <v>0</v>
      </c>
      <c r="E48" s="2"/>
      <c r="F48" s="23"/>
      <c r="G48" s="2"/>
      <c r="H48" s="2"/>
      <c r="I48" s="2"/>
      <c r="J48" s="23"/>
      <c r="K48" s="2"/>
      <c r="L48" s="2">
        <f t="shared" si="0"/>
        <v>0</v>
      </c>
      <c r="M48" s="2"/>
      <c r="N48" s="23">
        <f t="shared" si="1"/>
        <v>0</v>
      </c>
      <c r="O48" s="11"/>
      <c r="P48" s="2">
        <f>--68.25</f>
        <v>68.25</v>
      </c>
      <c r="Q48" s="2"/>
      <c r="R48" s="23"/>
      <c r="S48" s="2"/>
      <c r="T48" s="2"/>
      <c r="U48" s="2"/>
      <c r="V48" s="23"/>
      <c r="W48" s="2"/>
      <c r="X48" s="2">
        <f t="shared" si="2"/>
        <v>68.25</v>
      </c>
      <c r="Y48" s="2"/>
      <c r="Z48" s="23">
        <f t="shared" si="3"/>
        <v>0</v>
      </c>
    </row>
    <row r="49" spans="1:26" s="24" customFormat="1" hidden="1" outlineLevel="1" x14ac:dyDescent="0.25">
      <c r="A49" s="51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>--7266.5</f>
        <v>7266.5</v>
      </c>
      <c r="E49" s="2"/>
      <c r="F49" s="23"/>
      <c r="G49" s="2"/>
      <c r="H49" s="2"/>
      <c r="I49" s="2"/>
      <c r="J49" s="23"/>
      <c r="K49" s="2"/>
      <c r="L49" s="2">
        <f t="shared" si="0"/>
        <v>7266.5</v>
      </c>
      <c r="M49" s="2"/>
      <c r="N49" s="23">
        <f t="shared" si="1"/>
        <v>0</v>
      </c>
      <c r="O49" s="11"/>
      <c r="P49" s="2">
        <f>--14112.74</f>
        <v>14112.74</v>
      </c>
      <c r="Q49" s="2"/>
      <c r="R49" s="23"/>
      <c r="S49" s="2"/>
      <c r="T49" s="2"/>
      <c r="U49" s="2"/>
      <c r="V49" s="23"/>
      <c r="W49" s="2"/>
      <c r="X49" s="2">
        <f t="shared" si="2"/>
        <v>14112.74</v>
      </c>
      <c r="Y49" s="2"/>
      <c r="Z49" s="23">
        <f t="shared" si="3"/>
        <v>0</v>
      </c>
    </row>
    <row r="50" spans="1:26" s="24" customFormat="1" hidden="1" outlineLevel="1" x14ac:dyDescent="0.25">
      <c r="A50" s="51"/>
      <c r="B50" s="11" t="str">
        <f>CONCATENATE("          ", "4141", " - ", "NON-TAXABLE SALES-LOGO GIFTS")</f>
        <v xml:space="preserve">          4141 - NON-TAXABLE SALES-LOGO GIFTS</v>
      </c>
      <c r="C50" s="11"/>
      <c r="D50" s="2">
        <f>--1189.06</f>
        <v>1189.06</v>
      </c>
      <c r="E50" s="2"/>
      <c r="F50" s="23"/>
      <c r="G50" s="2"/>
      <c r="H50" s="2"/>
      <c r="I50" s="2"/>
      <c r="J50" s="23"/>
      <c r="K50" s="2"/>
      <c r="L50" s="2">
        <f t="shared" si="0"/>
        <v>1189.06</v>
      </c>
      <c r="M50" s="2"/>
      <c r="N50" s="23">
        <f t="shared" si="1"/>
        <v>0</v>
      </c>
      <c r="O50" s="11"/>
      <c r="P50" s="2">
        <f>--2389.25</f>
        <v>2389.25</v>
      </c>
      <c r="Q50" s="2"/>
      <c r="R50" s="23"/>
      <c r="S50" s="2"/>
      <c r="T50" s="2"/>
      <c r="U50" s="2"/>
      <c r="V50" s="23"/>
      <c r="W50" s="2"/>
      <c r="X50" s="2">
        <f t="shared" si="2"/>
        <v>2389.25</v>
      </c>
      <c r="Y50" s="2"/>
      <c r="Z50" s="23">
        <f t="shared" si="3"/>
        <v>0</v>
      </c>
    </row>
    <row r="51" spans="1:26" s="24" customFormat="1" hidden="1" outlineLevel="1" x14ac:dyDescent="0.25">
      <c r="A51" s="51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>--339.4</f>
        <v>339.4</v>
      </c>
      <c r="E51" s="2"/>
      <c r="F51" s="23"/>
      <c r="G51" s="2"/>
      <c r="H51" s="2"/>
      <c r="I51" s="2"/>
      <c r="J51" s="23"/>
      <c r="K51" s="2"/>
      <c r="L51" s="2">
        <f t="shared" si="0"/>
        <v>339.4</v>
      </c>
      <c r="M51" s="2"/>
      <c r="N51" s="23">
        <f t="shared" si="1"/>
        <v>0</v>
      </c>
      <c r="O51" s="11"/>
      <c r="P51" s="2">
        <f>--979.57</f>
        <v>979.57</v>
      </c>
      <c r="Q51" s="2"/>
      <c r="R51" s="23"/>
      <c r="S51" s="2"/>
      <c r="T51" s="2"/>
      <c r="U51" s="2"/>
      <c r="V51" s="23"/>
      <c r="W51" s="2"/>
      <c r="X51" s="2">
        <f t="shared" si="2"/>
        <v>979.57</v>
      </c>
      <c r="Y51" s="2"/>
      <c r="Z51" s="23">
        <f t="shared" si="3"/>
        <v>0</v>
      </c>
    </row>
    <row r="52" spans="1:26" s="24" customFormat="1" hidden="1" outlineLevel="1" x14ac:dyDescent="0.25">
      <c r="A52" s="51"/>
      <c r="B52" s="11" t="str">
        <f>CONCATENATE("          ", "4143", " - ", "NON-TAXABLE SALES-CARDS")</f>
        <v xml:space="preserve">          4143 - NON-TAXABLE SALES-CARDS</v>
      </c>
      <c r="C52" s="11"/>
      <c r="D52" s="2">
        <f>--19.98</f>
        <v>19.98</v>
      </c>
      <c r="E52" s="2"/>
      <c r="F52" s="23"/>
      <c r="G52" s="2"/>
      <c r="H52" s="2"/>
      <c r="I52" s="2"/>
      <c r="J52" s="23"/>
      <c r="K52" s="2"/>
      <c r="L52" s="2">
        <f t="shared" si="0"/>
        <v>19.98</v>
      </c>
      <c r="M52" s="2"/>
      <c r="N52" s="23">
        <f t="shared" si="1"/>
        <v>0</v>
      </c>
      <c r="O52" s="11"/>
      <c r="P52" s="2">
        <f>--19.98</f>
        <v>19.98</v>
      </c>
      <c r="Q52" s="2"/>
      <c r="R52" s="23"/>
      <c r="S52" s="2"/>
      <c r="T52" s="2"/>
      <c r="U52" s="2"/>
      <c r="V52" s="23"/>
      <c r="W52" s="2"/>
      <c r="X52" s="2">
        <f t="shared" si="2"/>
        <v>19.98</v>
      </c>
      <c r="Y52" s="2"/>
      <c r="Z52" s="23">
        <f t="shared" si="3"/>
        <v>0</v>
      </c>
    </row>
    <row r="53" spans="1:26" s="24" customFormat="1" hidden="1" outlineLevel="1" x14ac:dyDescent="0.25">
      <c r="A53" s="51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>--107.95</f>
        <v>107.95</v>
      </c>
      <c r="E53" s="2"/>
      <c r="F53" s="23"/>
      <c r="G53" s="2"/>
      <c r="H53" s="2"/>
      <c r="I53" s="2"/>
      <c r="J53" s="23"/>
      <c r="K53" s="2"/>
      <c r="L53" s="2">
        <f t="shared" si="0"/>
        <v>107.95</v>
      </c>
      <c r="M53" s="2"/>
      <c r="N53" s="23">
        <f t="shared" si="1"/>
        <v>0</v>
      </c>
      <c r="O53" s="11"/>
      <c r="P53" s="2">
        <f>--155.8</f>
        <v>155.80000000000001</v>
      </c>
      <c r="Q53" s="2"/>
      <c r="R53" s="23"/>
      <c r="S53" s="2"/>
      <c r="T53" s="2"/>
      <c r="U53" s="2"/>
      <c r="V53" s="23"/>
      <c r="W53" s="2"/>
      <c r="X53" s="2">
        <f t="shared" si="2"/>
        <v>155.80000000000001</v>
      </c>
      <c r="Y53" s="2"/>
      <c r="Z53" s="23">
        <f t="shared" si="3"/>
        <v>0</v>
      </c>
    </row>
    <row r="54" spans="1:26" s="24" customFormat="1" hidden="1" outlineLevel="1" x14ac:dyDescent="0.25">
      <c r="A54" s="51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>--350</f>
        <v>350</v>
      </c>
      <c r="E54" s="2"/>
      <c r="F54" s="23"/>
      <c r="G54" s="2"/>
      <c r="H54" s="2"/>
      <c r="I54" s="2"/>
      <c r="J54" s="23"/>
      <c r="K54" s="2"/>
      <c r="L54" s="2">
        <f t="shared" si="0"/>
        <v>350</v>
      </c>
      <c r="M54" s="2"/>
      <c r="N54" s="23">
        <f t="shared" si="1"/>
        <v>0</v>
      </c>
      <c r="O54" s="11"/>
      <c r="P54" s="2">
        <f>--35846</f>
        <v>35846</v>
      </c>
      <c r="Q54" s="2"/>
      <c r="R54" s="23"/>
      <c r="S54" s="2"/>
      <c r="T54" s="2"/>
      <c r="U54" s="2"/>
      <c r="V54" s="23"/>
      <c r="W54" s="2"/>
      <c r="X54" s="2">
        <f t="shared" si="2"/>
        <v>35846</v>
      </c>
      <c r="Y54" s="2"/>
      <c r="Z54" s="23">
        <f t="shared" si="3"/>
        <v>0</v>
      </c>
    </row>
    <row r="55" spans="1:26" s="24" customFormat="1" hidden="1" outlineLevel="1" x14ac:dyDescent="0.25">
      <c r="A55" s="51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>--15.5</f>
        <v>15.5</v>
      </c>
      <c r="E55" s="2"/>
      <c r="F55" s="23"/>
      <c r="G55" s="2"/>
      <c r="H55" s="2"/>
      <c r="I55" s="2"/>
      <c r="J55" s="23"/>
      <c r="K55" s="2"/>
      <c r="L55" s="2">
        <f t="shared" si="0"/>
        <v>15.5</v>
      </c>
      <c r="M55" s="2"/>
      <c r="N55" s="23">
        <f t="shared" si="1"/>
        <v>0</v>
      </c>
      <c r="O55" s="11"/>
      <c r="P55" s="2">
        <f>--15.5</f>
        <v>15.5</v>
      </c>
      <c r="Q55" s="2"/>
      <c r="R55" s="23"/>
      <c r="S55" s="2"/>
      <c r="T55" s="2"/>
      <c r="U55" s="2"/>
      <c r="V55" s="23"/>
      <c r="W55" s="2"/>
      <c r="X55" s="2">
        <f t="shared" si="2"/>
        <v>15.5</v>
      </c>
      <c r="Y55" s="2"/>
      <c r="Z55" s="23">
        <f t="shared" si="3"/>
        <v>0</v>
      </c>
    </row>
    <row r="56" spans="1:26" s="24" customFormat="1" hidden="1" outlineLevel="1" x14ac:dyDescent="0.25">
      <c r="A56" s="51"/>
      <c r="B56" s="11" t="str">
        <f>CONCATENATE("          ", "4147", " - ", "NON-TAXABLE SALES-MISC")</f>
        <v xml:space="preserve">          4147 - NON-TAXABLE SALES-MISC</v>
      </c>
      <c r="C56" s="11"/>
      <c r="D56" s="2">
        <f>--23</f>
        <v>23</v>
      </c>
      <c r="E56" s="2"/>
      <c r="F56" s="23"/>
      <c r="G56" s="2"/>
      <c r="H56" s="2"/>
      <c r="I56" s="2"/>
      <c r="J56" s="23"/>
      <c r="K56" s="2"/>
      <c r="L56" s="2">
        <f t="shared" si="0"/>
        <v>23</v>
      </c>
      <c r="M56" s="2"/>
      <c r="N56" s="23">
        <f t="shared" si="1"/>
        <v>0</v>
      </c>
      <c r="O56" s="11"/>
      <c r="P56" s="2">
        <f>--24</f>
        <v>24</v>
      </c>
      <c r="Q56" s="2"/>
      <c r="R56" s="23"/>
      <c r="S56" s="2"/>
      <c r="T56" s="2"/>
      <c r="U56" s="2"/>
      <c r="V56" s="23"/>
      <c r="W56" s="2"/>
      <c r="X56" s="2">
        <f t="shared" si="2"/>
        <v>24</v>
      </c>
      <c r="Y56" s="2"/>
      <c r="Z56" s="23">
        <f t="shared" si="3"/>
        <v>0</v>
      </c>
    </row>
    <row r="57" spans="1:26" s="24" customFormat="1" hidden="1" outlineLevel="1" x14ac:dyDescent="0.25">
      <c r="A57" s="51"/>
      <c r="B57" s="11" t="str">
        <f>CONCATENATE("          ", "4181", " - ", "NON-TAXABLE SALES-ELECTRONICS")</f>
        <v xml:space="preserve">          4181 - NON-TAXABLE SALES-ELECTRONICS</v>
      </c>
      <c r="C57" s="11"/>
      <c r="D57" s="2">
        <f>--2349.29</f>
        <v>2349.29</v>
      </c>
      <c r="E57" s="2"/>
      <c r="F57" s="23"/>
      <c r="G57" s="2"/>
      <c r="H57" s="2"/>
      <c r="I57" s="2"/>
      <c r="J57" s="23"/>
      <c r="K57" s="2"/>
      <c r="L57" s="2">
        <f t="shared" si="0"/>
        <v>2349.29</v>
      </c>
      <c r="M57" s="2"/>
      <c r="N57" s="23">
        <f t="shared" si="1"/>
        <v>0</v>
      </c>
      <c r="O57" s="11"/>
      <c r="P57" s="2">
        <f>--2639.27</f>
        <v>2639.27</v>
      </c>
      <c r="Q57" s="2"/>
      <c r="R57" s="23"/>
      <c r="S57" s="2"/>
      <c r="T57" s="2"/>
      <c r="U57" s="2"/>
      <c r="V57" s="23"/>
      <c r="W57" s="2"/>
      <c r="X57" s="2">
        <f t="shared" si="2"/>
        <v>2639.27</v>
      </c>
      <c r="Y57" s="2"/>
      <c r="Z57" s="23">
        <f t="shared" si="3"/>
        <v>0</v>
      </c>
    </row>
    <row r="58" spans="1:26" s="24" customFormat="1" hidden="1" outlineLevel="1" x14ac:dyDescent="0.25">
      <c r="A58" s="51"/>
      <c r="B58" s="11" t="str">
        <f>CONCATENATE("          ", "4182", " - ", "NON-TAXABLE SALES-COMPUTER HAR")</f>
        <v xml:space="preserve">          4182 - NON-TAXABLE SALES-COMPUTER HAR</v>
      </c>
      <c r="C58" s="11"/>
      <c r="D58" s="2">
        <f>--46190.39</f>
        <v>46190.39</v>
      </c>
      <c r="E58" s="2"/>
      <c r="F58" s="23"/>
      <c r="G58" s="2"/>
      <c r="H58" s="2"/>
      <c r="I58" s="2"/>
      <c r="J58" s="23"/>
      <c r="K58" s="2"/>
      <c r="L58" s="2">
        <f t="shared" si="0"/>
        <v>46190.39</v>
      </c>
      <c r="M58" s="2"/>
      <c r="N58" s="23">
        <f t="shared" si="1"/>
        <v>0</v>
      </c>
      <c r="O58" s="11"/>
      <c r="P58" s="2">
        <f>--82067.38</f>
        <v>82067.38</v>
      </c>
      <c r="Q58" s="2"/>
      <c r="R58" s="23"/>
      <c r="S58" s="2"/>
      <c r="T58" s="2"/>
      <c r="U58" s="2"/>
      <c r="V58" s="23"/>
      <c r="W58" s="2"/>
      <c r="X58" s="2">
        <f t="shared" si="2"/>
        <v>82067.38</v>
      </c>
      <c r="Y58" s="2"/>
      <c r="Z58" s="23">
        <f t="shared" si="3"/>
        <v>0</v>
      </c>
    </row>
    <row r="59" spans="1:26" s="24" customFormat="1" hidden="1" outlineLevel="1" x14ac:dyDescent="0.25">
      <c r="A59" s="51"/>
      <c r="B59" s="11" t="str">
        <f>CONCATENATE("          ", "4183", " - ", "NON-TAXABLE SALES-COMPUTER EQU")</f>
        <v xml:space="preserve">          4183 - NON-TAXABLE SALES-COMPUTER EQU</v>
      </c>
      <c r="C59" s="11"/>
      <c r="D59" s="2">
        <f>--1759.83</f>
        <v>1759.83</v>
      </c>
      <c r="E59" s="2"/>
      <c r="F59" s="23"/>
      <c r="G59" s="2"/>
      <c r="H59" s="2"/>
      <c r="I59" s="2"/>
      <c r="J59" s="23"/>
      <c r="K59" s="2"/>
      <c r="L59" s="2">
        <f t="shared" si="0"/>
        <v>1759.83</v>
      </c>
      <c r="M59" s="2"/>
      <c r="N59" s="23">
        <f t="shared" si="1"/>
        <v>0</v>
      </c>
      <c r="O59" s="11"/>
      <c r="P59" s="2">
        <f>--3119.68</f>
        <v>3119.68</v>
      </c>
      <c r="Q59" s="2"/>
      <c r="R59" s="23"/>
      <c r="S59" s="2"/>
      <c r="T59" s="2"/>
      <c r="U59" s="2"/>
      <c r="V59" s="23"/>
      <c r="W59" s="2"/>
      <c r="X59" s="2">
        <f t="shared" si="2"/>
        <v>3119.68</v>
      </c>
      <c r="Y59" s="2"/>
      <c r="Z59" s="23">
        <f t="shared" si="3"/>
        <v>0</v>
      </c>
    </row>
    <row r="60" spans="1:26" s="24" customFormat="1" hidden="1" outlineLevel="1" x14ac:dyDescent="0.25">
      <c r="A60" s="51"/>
      <c r="B60" s="11" t="str">
        <f>CONCATENATE("          ", "4185", " - ", "NON-TAXABLE SALES-SOFTWARE")</f>
        <v xml:space="preserve">          4185 - NON-TAXABLE SALES-SOFTWARE</v>
      </c>
      <c r="C60" s="11"/>
      <c r="D60" s="2">
        <f>--4610.75</f>
        <v>4610.75</v>
      </c>
      <c r="E60" s="2"/>
      <c r="F60" s="23"/>
      <c r="G60" s="2"/>
      <c r="H60" s="2"/>
      <c r="I60" s="2"/>
      <c r="J60" s="23"/>
      <c r="K60" s="2"/>
      <c r="L60" s="2">
        <f t="shared" si="0"/>
        <v>4610.75</v>
      </c>
      <c r="M60" s="2"/>
      <c r="N60" s="23">
        <f t="shared" si="1"/>
        <v>0</v>
      </c>
      <c r="O60" s="11"/>
      <c r="P60" s="2">
        <f>--10798.49</f>
        <v>10798.49</v>
      </c>
      <c r="Q60" s="2"/>
      <c r="R60" s="23"/>
      <c r="S60" s="2"/>
      <c r="T60" s="2"/>
      <c r="U60" s="2"/>
      <c r="V60" s="23"/>
      <c r="W60" s="2"/>
      <c r="X60" s="2">
        <f t="shared" si="2"/>
        <v>10798.49</v>
      </c>
      <c r="Y60" s="2"/>
      <c r="Z60" s="23">
        <f t="shared" si="3"/>
        <v>0</v>
      </c>
    </row>
    <row r="61" spans="1:26" s="24" customFormat="1" hidden="1" outlineLevel="1" x14ac:dyDescent="0.25">
      <c r="A61" s="51"/>
      <c r="B61" s="11" t="str">
        <f>CONCATENATE("          ", "4186", " - ", "NON-TAXABLE SALES-COMPUTER SUP")</f>
        <v xml:space="preserve">          4186 - NON-TAXABLE SALES-COMPUTER SUP</v>
      </c>
      <c r="C61" s="11"/>
      <c r="D61" s="2">
        <f>--257.95</f>
        <v>257.95</v>
      </c>
      <c r="E61" s="2"/>
      <c r="F61" s="23"/>
      <c r="G61" s="2"/>
      <c r="H61" s="2"/>
      <c r="I61" s="2"/>
      <c r="J61" s="23"/>
      <c r="K61" s="2"/>
      <c r="L61" s="2">
        <f t="shared" si="0"/>
        <v>257.95</v>
      </c>
      <c r="M61" s="2"/>
      <c r="N61" s="23">
        <f t="shared" si="1"/>
        <v>0</v>
      </c>
      <c r="O61" s="11"/>
      <c r="P61" s="2">
        <f>--412.9</f>
        <v>412.9</v>
      </c>
      <c r="Q61" s="2"/>
      <c r="R61" s="23"/>
      <c r="S61" s="2"/>
      <c r="T61" s="2"/>
      <c r="U61" s="2"/>
      <c r="V61" s="23"/>
      <c r="W61" s="2"/>
      <c r="X61" s="2">
        <f t="shared" si="2"/>
        <v>412.9</v>
      </c>
      <c r="Y61" s="2"/>
      <c r="Z61" s="23">
        <f t="shared" si="3"/>
        <v>0</v>
      </c>
    </row>
    <row r="62" spans="1:26" s="24" customFormat="1" hidden="1" outlineLevel="1" x14ac:dyDescent="0.25">
      <c r="A62" s="51"/>
      <c r="B62" s="11" t="str">
        <f>CONCATENATE("          ", "4201", " - ", "SALES RETURN TAXABLE-NEW TEXT")</f>
        <v xml:space="preserve">          4201 - SALES RETURN TAXABLE-NEW TEXT</v>
      </c>
      <c r="C62" s="11"/>
      <c r="D62" s="2">
        <f>-18222.39</f>
        <v>-18222.39</v>
      </c>
      <c r="E62" s="2"/>
      <c r="F62" s="23"/>
      <c r="G62" s="2"/>
      <c r="H62" s="2"/>
      <c r="I62" s="2"/>
      <c r="J62" s="23"/>
      <c r="K62" s="2"/>
      <c r="L62" s="2">
        <f t="shared" si="0"/>
        <v>-18222.39</v>
      </c>
      <c r="M62" s="2"/>
      <c r="N62" s="23">
        <f t="shared" si="1"/>
        <v>0</v>
      </c>
      <c r="O62" s="11"/>
      <c r="P62" s="2">
        <f>-18855.79</f>
        <v>-18855.79</v>
      </c>
      <c r="Q62" s="2"/>
      <c r="R62" s="23"/>
      <c r="S62" s="2"/>
      <c r="T62" s="2"/>
      <c r="U62" s="2"/>
      <c r="V62" s="23"/>
      <c r="W62" s="2"/>
      <c r="X62" s="2">
        <f t="shared" si="2"/>
        <v>-18855.79</v>
      </c>
      <c r="Y62" s="2"/>
      <c r="Z62" s="23">
        <f t="shared" si="3"/>
        <v>0</v>
      </c>
    </row>
    <row r="63" spans="1:26" s="24" customFormat="1" hidden="1" outlineLevel="1" x14ac:dyDescent="0.25">
      <c r="A63" s="51"/>
      <c r="B63" s="11" t="str">
        <f>CONCATENATE("          ", "4202", " - ", "SALES RETURN TAXABLE-USED TEXT")</f>
        <v xml:space="preserve">          4202 - SALES RETURN TAXABLE-USED TEXT</v>
      </c>
      <c r="C63" s="11"/>
      <c r="D63" s="2">
        <f>-8869.4</f>
        <v>-8869.4</v>
      </c>
      <c r="E63" s="2"/>
      <c r="F63" s="23"/>
      <c r="G63" s="2"/>
      <c r="H63" s="2"/>
      <c r="I63" s="2"/>
      <c r="J63" s="23"/>
      <c r="K63" s="2"/>
      <c r="L63" s="2">
        <f t="shared" si="0"/>
        <v>-8869.4</v>
      </c>
      <c r="M63" s="2"/>
      <c r="N63" s="23">
        <f t="shared" si="1"/>
        <v>0</v>
      </c>
      <c r="O63" s="11"/>
      <c r="P63" s="2">
        <f>-9047.75</f>
        <v>-9047.75</v>
      </c>
      <c r="Q63" s="2"/>
      <c r="R63" s="23"/>
      <c r="S63" s="2"/>
      <c r="T63" s="2"/>
      <c r="U63" s="2"/>
      <c r="V63" s="23"/>
      <c r="W63" s="2"/>
      <c r="X63" s="2">
        <f t="shared" si="2"/>
        <v>-9047.75</v>
      </c>
      <c r="Y63" s="2"/>
      <c r="Z63" s="23">
        <f t="shared" si="3"/>
        <v>0</v>
      </c>
    </row>
    <row r="64" spans="1:26" s="24" customFormat="1" hidden="1" outlineLevel="1" x14ac:dyDescent="0.25">
      <c r="A64" s="51"/>
      <c r="B64" s="11" t="str">
        <f>CONCATENATE("          ", "4204", " - ", "SALES RETURN TAXABLE-DIGITAL T")</f>
        <v xml:space="preserve">          4204 - SALES RETURN TAXABLE-DIGITAL T</v>
      </c>
      <c r="C64" s="11"/>
      <c r="D64" s="2">
        <f>-1141.08</f>
        <v>-1141.08</v>
      </c>
      <c r="E64" s="2"/>
      <c r="F64" s="23"/>
      <c r="G64" s="2"/>
      <c r="H64" s="2"/>
      <c r="I64" s="2"/>
      <c r="J64" s="23"/>
      <c r="K64" s="2"/>
      <c r="L64" s="2">
        <f t="shared" si="0"/>
        <v>-1141.08</v>
      </c>
      <c r="M64" s="2"/>
      <c r="N64" s="23">
        <f t="shared" si="1"/>
        <v>0</v>
      </c>
      <c r="O64" s="11"/>
      <c r="P64" s="2">
        <f>-1141.08</f>
        <v>-1141.08</v>
      </c>
      <c r="Q64" s="2"/>
      <c r="R64" s="23"/>
      <c r="S64" s="2"/>
      <c r="T64" s="2"/>
      <c r="U64" s="2"/>
      <c r="V64" s="23"/>
      <c r="W64" s="2"/>
      <c r="X64" s="2">
        <f t="shared" si="2"/>
        <v>-1141.08</v>
      </c>
      <c r="Y64" s="2"/>
      <c r="Z64" s="23">
        <f t="shared" si="3"/>
        <v>0</v>
      </c>
    </row>
    <row r="65" spans="1:26" s="24" customFormat="1" hidden="1" outlineLevel="1" x14ac:dyDescent="0.25">
      <c r="A65" s="51"/>
      <c r="B65" s="11" t="str">
        <f>CONCATENATE("          ", "4226", " - ", "SALES RETURN TAXABLE-WRITING I")</f>
        <v xml:space="preserve">          4226 - SALES RETURN TAXABLE-WRITING I</v>
      </c>
      <c r="C65" s="11"/>
      <c r="D65" s="2">
        <f>0</f>
        <v>0</v>
      </c>
      <c r="E65" s="2"/>
      <c r="F65" s="23"/>
      <c r="G65" s="2"/>
      <c r="H65" s="2"/>
      <c r="I65" s="2"/>
      <c r="J65" s="23"/>
      <c r="K65" s="2"/>
      <c r="L65" s="2">
        <f t="shared" si="0"/>
        <v>0</v>
      </c>
      <c r="M65" s="2"/>
      <c r="N65" s="23">
        <f t="shared" si="1"/>
        <v>0</v>
      </c>
      <c r="O65" s="11"/>
      <c r="P65" s="2">
        <f>-6.38</f>
        <v>-6.38</v>
      </c>
      <c r="Q65" s="2"/>
      <c r="R65" s="23"/>
      <c r="S65" s="2"/>
      <c r="T65" s="2"/>
      <c r="U65" s="2"/>
      <c r="V65" s="23"/>
      <c r="W65" s="2"/>
      <c r="X65" s="2">
        <f t="shared" si="2"/>
        <v>-6.38</v>
      </c>
      <c r="Y65" s="2"/>
      <c r="Z65" s="23">
        <f t="shared" si="3"/>
        <v>0</v>
      </c>
    </row>
    <row r="66" spans="1:26" s="24" customFormat="1" hidden="1" outlineLevel="1" x14ac:dyDescent="0.25">
      <c r="A66" s="51"/>
      <c r="B66" s="11" t="str">
        <f>CONCATENATE("          ", "4227", " - ", "SALES RETURN TAXABLE-SCHOOL SU")</f>
        <v xml:space="preserve">          4227 - SALES RETURN TAXABLE-SCHOOL SU</v>
      </c>
      <c r="C66" s="11"/>
      <c r="D66" s="2">
        <f>-359.61</f>
        <v>-359.61</v>
      </c>
      <c r="E66" s="2"/>
      <c r="F66" s="23"/>
      <c r="G66" s="2"/>
      <c r="H66" s="2"/>
      <c r="I66" s="2"/>
      <c r="J66" s="23"/>
      <c r="K66" s="2"/>
      <c r="L66" s="2">
        <f t="shared" si="0"/>
        <v>-359.61</v>
      </c>
      <c r="M66" s="2"/>
      <c r="N66" s="23">
        <f t="shared" si="1"/>
        <v>0</v>
      </c>
      <c r="O66" s="11"/>
      <c r="P66" s="2">
        <f>-416.38</f>
        <v>-416.38</v>
      </c>
      <c r="Q66" s="2"/>
      <c r="R66" s="23"/>
      <c r="S66" s="2"/>
      <c r="T66" s="2"/>
      <c r="U66" s="2"/>
      <c r="V66" s="23"/>
      <c r="W66" s="2"/>
      <c r="X66" s="2">
        <f t="shared" si="2"/>
        <v>-416.38</v>
      </c>
      <c r="Y66" s="2"/>
      <c r="Z66" s="23">
        <f t="shared" si="3"/>
        <v>0</v>
      </c>
    </row>
    <row r="67" spans="1:26" s="24" customFormat="1" hidden="1" outlineLevel="1" x14ac:dyDescent="0.25">
      <c r="A67" s="51"/>
      <c r="B67" s="11" t="str">
        <f>CONCATENATE("          ", "4228", " - ", "SALES RETURN TAXABLE-ART/TECH")</f>
        <v xml:space="preserve">          4228 - SALES RETURN TAXABLE-ART/TECH</v>
      </c>
      <c r="C67" s="11"/>
      <c r="D67" s="2">
        <f>-164.44</f>
        <v>-164.44</v>
      </c>
      <c r="E67" s="2"/>
      <c r="F67" s="23"/>
      <c r="G67" s="2"/>
      <c r="H67" s="2"/>
      <c r="I67" s="2"/>
      <c r="J67" s="23"/>
      <c r="K67" s="2"/>
      <c r="L67" s="2">
        <f t="shared" si="0"/>
        <v>-164.44</v>
      </c>
      <c r="M67" s="2"/>
      <c r="N67" s="23">
        <f t="shared" si="1"/>
        <v>0</v>
      </c>
      <c r="O67" s="11"/>
      <c r="P67" s="2">
        <f>-164.44</f>
        <v>-164.44</v>
      </c>
      <c r="Q67" s="2"/>
      <c r="R67" s="23"/>
      <c r="S67" s="2"/>
      <c r="T67" s="2"/>
      <c r="U67" s="2"/>
      <c r="V67" s="23"/>
      <c r="W67" s="2"/>
      <c r="X67" s="2">
        <f t="shared" si="2"/>
        <v>-164.44</v>
      </c>
      <c r="Y67" s="2"/>
      <c r="Z67" s="23">
        <f t="shared" si="3"/>
        <v>0</v>
      </c>
    </row>
    <row r="68" spans="1:26" s="24" customFormat="1" hidden="1" outlineLevel="1" x14ac:dyDescent="0.25">
      <c r="A68" s="51"/>
      <c r="B68" s="11" t="str">
        <f>CONCATENATE("          ", "4240", " - ", "SALES RETURN TAXABLE-LOGO CLOT")</f>
        <v xml:space="preserve">          4240 - SALES RETURN TAXABLE-LOGO CLOT</v>
      </c>
      <c r="C68" s="11"/>
      <c r="D68" s="2">
        <f>-4788.72</f>
        <v>-4788.72</v>
      </c>
      <c r="E68" s="2"/>
      <c r="F68" s="23"/>
      <c r="G68" s="2"/>
      <c r="H68" s="2"/>
      <c r="I68" s="2"/>
      <c r="J68" s="23"/>
      <c r="K68" s="2"/>
      <c r="L68" s="2">
        <f t="shared" si="0"/>
        <v>-4788.72</v>
      </c>
      <c r="M68" s="2"/>
      <c r="N68" s="23">
        <f t="shared" si="1"/>
        <v>0</v>
      </c>
      <c r="O68" s="11"/>
      <c r="P68" s="2">
        <f>-8156.82</f>
        <v>-8156.82</v>
      </c>
      <c r="Q68" s="2"/>
      <c r="R68" s="23"/>
      <c r="S68" s="2"/>
      <c r="T68" s="2"/>
      <c r="U68" s="2"/>
      <c r="V68" s="23"/>
      <c r="W68" s="2"/>
      <c r="X68" s="2">
        <f t="shared" si="2"/>
        <v>-8156.82</v>
      </c>
      <c r="Y68" s="2"/>
      <c r="Z68" s="23">
        <f t="shared" si="3"/>
        <v>0</v>
      </c>
    </row>
    <row r="69" spans="1:26" s="24" customFormat="1" hidden="1" outlineLevel="1" x14ac:dyDescent="0.25">
      <c r="A69" s="51"/>
      <c r="B69" s="11" t="str">
        <f>CONCATENATE("          ", "4241", " - ", "SALES RETURN TAXABLE-LOGO GIFT")</f>
        <v xml:space="preserve">          4241 - SALES RETURN TAXABLE-LOGO GIFT</v>
      </c>
      <c r="C69" s="11"/>
      <c r="D69" s="2">
        <f>-986.21</f>
        <v>-986.21</v>
      </c>
      <c r="E69" s="2"/>
      <c r="F69" s="23"/>
      <c r="G69" s="2"/>
      <c r="H69" s="2"/>
      <c r="I69" s="2"/>
      <c r="J69" s="23"/>
      <c r="K69" s="2"/>
      <c r="L69" s="2">
        <f t="shared" si="0"/>
        <v>-986.21</v>
      </c>
      <c r="M69" s="2"/>
      <c r="N69" s="23">
        <f t="shared" si="1"/>
        <v>0</v>
      </c>
      <c r="O69" s="11"/>
      <c r="P69" s="2">
        <f>-1328.19</f>
        <v>-1328.19</v>
      </c>
      <c r="Q69" s="2"/>
      <c r="R69" s="23"/>
      <c r="S69" s="2"/>
      <c r="T69" s="2"/>
      <c r="U69" s="2"/>
      <c r="V69" s="23"/>
      <c r="W69" s="2"/>
      <c r="X69" s="2">
        <f t="shared" si="2"/>
        <v>-1328.19</v>
      </c>
      <c r="Y69" s="2"/>
      <c r="Z69" s="23">
        <f t="shared" si="3"/>
        <v>0</v>
      </c>
    </row>
    <row r="70" spans="1:26" s="24" customFormat="1" hidden="1" outlineLevel="1" x14ac:dyDescent="0.25">
      <c r="A70" s="51"/>
      <c r="B70" s="11" t="str">
        <f>CONCATENATE("          ", "4242", " - ", "SALES RETURN TAXABLE-EVERYDAY")</f>
        <v xml:space="preserve">          4242 - SALES RETURN TAXABLE-EVERYDAY</v>
      </c>
      <c r="C70" s="11"/>
      <c r="D70" s="2">
        <f>-470.53</f>
        <v>-470.53</v>
      </c>
      <c r="E70" s="2"/>
      <c r="F70" s="23"/>
      <c r="G70" s="2"/>
      <c r="H70" s="2"/>
      <c r="I70" s="2"/>
      <c r="J70" s="23"/>
      <c r="K70" s="2"/>
      <c r="L70" s="2">
        <f t="shared" si="0"/>
        <v>-470.53</v>
      </c>
      <c r="M70" s="2"/>
      <c r="N70" s="23">
        <f t="shared" si="1"/>
        <v>0</v>
      </c>
      <c r="O70" s="11"/>
      <c r="P70" s="2">
        <f>-649.49</f>
        <v>-649.49</v>
      </c>
      <c r="Q70" s="2"/>
      <c r="R70" s="23"/>
      <c r="S70" s="2"/>
      <c r="T70" s="2"/>
      <c r="U70" s="2"/>
      <c r="V70" s="23"/>
      <c r="W70" s="2"/>
      <c r="X70" s="2">
        <f t="shared" si="2"/>
        <v>-649.49</v>
      </c>
      <c r="Y70" s="2"/>
      <c r="Z70" s="23">
        <f t="shared" si="3"/>
        <v>0</v>
      </c>
    </row>
    <row r="71" spans="1:26" s="24" customFormat="1" hidden="1" outlineLevel="1" x14ac:dyDescent="0.25">
      <c r="A71" s="51"/>
      <c r="B71" s="11" t="str">
        <f>CONCATENATE("          ", "4243", " - ", "SALES RETURN TAXABLE-CARDS")</f>
        <v xml:space="preserve">          4243 - SALES RETURN TAXABLE-CARDS</v>
      </c>
      <c r="C71" s="11"/>
      <c r="D71" s="2">
        <f>-93.43</f>
        <v>-93.43</v>
      </c>
      <c r="E71" s="2"/>
      <c r="F71" s="23"/>
      <c r="G71" s="2"/>
      <c r="H71" s="2"/>
      <c r="I71" s="2"/>
      <c r="J71" s="23"/>
      <c r="K71" s="2"/>
      <c r="L71" s="2">
        <f t="shared" si="0"/>
        <v>-93.43</v>
      </c>
      <c r="M71" s="2"/>
      <c r="N71" s="23">
        <f t="shared" si="1"/>
        <v>0</v>
      </c>
      <c r="O71" s="11"/>
      <c r="P71" s="2">
        <f>-93.43</f>
        <v>-93.43</v>
      </c>
      <c r="Q71" s="2"/>
      <c r="R71" s="23"/>
      <c r="S71" s="2"/>
      <c r="T71" s="2"/>
      <c r="U71" s="2"/>
      <c r="V71" s="23"/>
      <c r="W71" s="2"/>
      <c r="X71" s="2">
        <f t="shared" si="2"/>
        <v>-93.43</v>
      </c>
      <c r="Y71" s="2"/>
      <c r="Z71" s="23">
        <f t="shared" si="3"/>
        <v>0</v>
      </c>
    </row>
    <row r="72" spans="1:26" s="24" customFormat="1" hidden="1" outlineLevel="1" x14ac:dyDescent="0.25">
      <c r="A72" s="51"/>
      <c r="B72" s="11" t="str">
        <f>CONCATENATE("          ", "4244", " - ", "SALES RETURN TAXABLE-ACCESSORI")</f>
        <v xml:space="preserve">          4244 - SALES RETURN TAXABLE-ACCESSORI</v>
      </c>
      <c r="C72" s="11"/>
      <c r="D72" s="2">
        <f>-350.99</f>
        <v>-350.99</v>
      </c>
      <c r="E72" s="2"/>
      <c r="F72" s="23"/>
      <c r="G72" s="2"/>
      <c r="H72" s="2"/>
      <c r="I72" s="2"/>
      <c r="J72" s="23"/>
      <c r="K72" s="2"/>
      <c r="L72" s="2">
        <f t="shared" si="0"/>
        <v>-350.99</v>
      </c>
      <c r="M72" s="2"/>
      <c r="N72" s="23">
        <f t="shared" si="1"/>
        <v>0</v>
      </c>
      <c r="O72" s="11"/>
      <c r="P72" s="2">
        <f>-350.99</f>
        <v>-350.99</v>
      </c>
      <c r="Q72" s="2"/>
      <c r="R72" s="23"/>
      <c r="S72" s="2"/>
      <c r="T72" s="2"/>
      <c r="U72" s="2"/>
      <c r="V72" s="23"/>
      <c r="W72" s="2"/>
      <c r="X72" s="2">
        <f t="shared" si="2"/>
        <v>-350.99</v>
      </c>
      <c r="Y72" s="2"/>
      <c r="Z72" s="23">
        <f t="shared" si="3"/>
        <v>0</v>
      </c>
    </row>
    <row r="73" spans="1:26" s="24" customFormat="1" hidden="1" outlineLevel="1" x14ac:dyDescent="0.25">
      <c r="A73" s="51"/>
      <c r="B73" s="11" t="str">
        <f>CONCATENATE("          ", "4245", " - ", "SALES RETURN TAXABLE-SPECIAL O")</f>
        <v xml:space="preserve">          4245 - SALES RETURN TAXABLE-SPECIAL O</v>
      </c>
      <c r="C73" s="11"/>
      <c r="D73" s="2">
        <f>-57.96</f>
        <v>-57.96</v>
      </c>
      <c r="E73" s="2"/>
      <c r="F73" s="23"/>
      <c r="G73" s="2"/>
      <c r="H73" s="2"/>
      <c r="I73" s="2"/>
      <c r="J73" s="23"/>
      <c r="K73" s="2"/>
      <c r="L73" s="2">
        <f t="shared" si="0"/>
        <v>-57.96</v>
      </c>
      <c r="M73" s="2"/>
      <c r="N73" s="23">
        <f t="shared" si="1"/>
        <v>0</v>
      </c>
      <c r="O73" s="11"/>
      <c r="P73" s="2">
        <f>-1178.96</f>
        <v>-1178.96</v>
      </c>
      <c r="Q73" s="2"/>
      <c r="R73" s="23"/>
      <c r="S73" s="2"/>
      <c r="T73" s="2"/>
      <c r="U73" s="2"/>
      <c r="V73" s="23"/>
      <c r="W73" s="2"/>
      <c r="X73" s="2">
        <f t="shared" si="2"/>
        <v>-1178.96</v>
      </c>
      <c r="Y73" s="2"/>
      <c r="Z73" s="23">
        <f t="shared" si="3"/>
        <v>0</v>
      </c>
    </row>
    <row r="74" spans="1:26" s="24" customFormat="1" hidden="1" outlineLevel="1" x14ac:dyDescent="0.25">
      <c r="A74" s="51"/>
      <c r="B74" s="11" t="str">
        <f>CONCATENATE("          ", "4281", " - ", "SALES RETURN TAXABLE-ELECTRONI")</f>
        <v xml:space="preserve">          4281 - SALES RETURN TAXABLE-ELECTRONI</v>
      </c>
      <c r="C74" s="11"/>
      <c r="D74" s="2">
        <f>-7424.23</f>
        <v>-7424.23</v>
      </c>
      <c r="E74" s="2"/>
      <c r="F74" s="23"/>
      <c r="G74" s="2"/>
      <c r="H74" s="2"/>
      <c r="I74" s="2"/>
      <c r="J74" s="23"/>
      <c r="K74" s="2"/>
      <c r="L74" s="2">
        <f t="shared" si="0"/>
        <v>-7424.23</v>
      </c>
      <c r="M74" s="2"/>
      <c r="N74" s="23">
        <f t="shared" si="1"/>
        <v>0</v>
      </c>
      <c r="O74" s="11"/>
      <c r="P74" s="2">
        <f>-13716.22</f>
        <v>-13716.22</v>
      </c>
      <c r="Q74" s="2"/>
      <c r="R74" s="23"/>
      <c r="S74" s="2"/>
      <c r="T74" s="2"/>
      <c r="U74" s="2"/>
      <c r="V74" s="23"/>
      <c r="W74" s="2"/>
      <c r="X74" s="2">
        <f t="shared" si="2"/>
        <v>-13716.22</v>
      </c>
      <c r="Y74" s="2"/>
      <c r="Z74" s="23">
        <f t="shared" si="3"/>
        <v>0</v>
      </c>
    </row>
    <row r="75" spans="1:26" s="24" customFormat="1" hidden="1" outlineLevel="1" x14ac:dyDescent="0.25">
      <c r="A75" s="51"/>
      <c r="B75" s="11" t="str">
        <f>CONCATENATE("          ", "4282", " - ", "SALES RETURN TAXABLE-COMPUTER")</f>
        <v xml:space="preserve">          4282 - SALES RETURN TAXABLE-COMPUTER</v>
      </c>
      <c r="C75" s="11"/>
      <c r="D75" s="2">
        <f>-15442</f>
        <v>-15442</v>
      </c>
      <c r="E75" s="2"/>
      <c r="F75" s="23"/>
      <c r="G75" s="2"/>
      <c r="H75" s="2"/>
      <c r="I75" s="2"/>
      <c r="J75" s="23"/>
      <c r="K75" s="2"/>
      <c r="L75" s="2">
        <f t="shared" si="0"/>
        <v>-15442</v>
      </c>
      <c r="M75" s="2"/>
      <c r="N75" s="23">
        <f t="shared" si="1"/>
        <v>0</v>
      </c>
      <c r="O75" s="11"/>
      <c r="P75" s="2">
        <f>-33649</f>
        <v>-33649</v>
      </c>
      <c r="Q75" s="2"/>
      <c r="R75" s="23"/>
      <c r="S75" s="2"/>
      <c r="T75" s="2"/>
      <c r="U75" s="2"/>
      <c r="V75" s="23"/>
      <c r="W75" s="2"/>
      <c r="X75" s="2">
        <f t="shared" si="2"/>
        <v>-33649</v>
      </c>
      <c r="Y75" s="2"/>
      <c r="Z75" s="23">
        <f t="shared" si="3"/>
        <v>0</v>
      </c>
    </row>
    <row r="76" spans="1:26" s="24" customFormat="1" hidden="1" outlineLevel="1" x14ac:dyDescent="0.25">
      <c r="A76" s="51"/>
      <c r="B76" s="11" t="str">
        <f>CONCATENATE("          ", "4283", " - ", "SALES RETURN TAXABLE-COMPUTER")</f>
        <v xml:space="preserve">          4283 - SALES RETURN TAXABLE-COMPUTER</v>
      </c>
      <c r="C76" s="11"/>
      <c r="D76" s="2">
        <f>-699.9</f>
        <v>-699.9</v>
      </c>
      <c r="E76" s="2"/>
      <c r="F76" s="23"/>
      <c r="G76" s="2"/>
      <c r="H76" s="2"/>
      <c r="I76" s="2"/>
      <c r="J76" s="23"/>
      <c r="K76" s="2"/>
      <c r="L76" s="2">
        <f t="shared" si="0"/>
        <v>-699.9</v>
      </c>
      <c r="M76" s="2"/>
      <c r="N76" s="23">
        <f t="shared" si="1"/>
        <v>0</v>
      </c>
      <c r="O76" s="11"/>
      <c r="P76" s="2">
        <f>-1518.83</f>
        <v>-1518.83</v>
      </c>
      <c r="Q76" s="2"/>
      <c r="R76" s="23"/>
      <c r="S76" s="2"/>
      <c r="T76" s="2"/>
      <c r="U76" s="2"/>
      <c r="V76" s="23"/>
      <c r="W76" s="2"/>
      <c r="X76" s="2">
        <f t="shared" si="2"/>
        <v>-1518.83</v>
      </c>
      <c r="Y76" s="2"/>
      <c r="Z76" s="23">
        <f t="shared" si="3"/>
        <v>0</v>
      </c>
    </row>
    <row r="77" spans="1:26" s="24" customFormat="1" hidden="1" outlineLevel="1" x14ac:dyDescent="0.25">
      <c r="A77" s="51"/>
      <c r="B77" s="11" t="str">
        <f>CONCATENATE("          ", "4286", " - ", "SALES RETURN TAXABLE-COMPUTER")</f>
        <v xml:space="preserve">          4286 - SALES RETURN TAXABLE-COMPUTER</v>
      </c>
      <c r="C77" s="11"/>
      <c r="D77" s="2">
        <f>-153.96</f>
        <v>-153.96</v>
      </c>
      <c r="E77" s="2"/>
      <c r="F77" s="23"/>
      <c r="G77" s="2"/>
      <c r="H77" s="2"/>
      <c r="I77" s="2"/>
      <c r="J77" s="23"/>
      <c r="K77" s="2"/>
      <c r="L77" s="2">
        <f t="shared" si="0"/>
        <v>-153.96</v>
      </c>
      <c r="M77" s="2"/>
      <c r="N77" s="23">
        <f t="shared" si="1"/>
        <v>0</v>
      </c>
      <c r="O77" s="11"/>
      <c r="P77" s="2">
        <f>-153.96</f>
        <v>-153.96</v>
      </c>
      <c r="Q77" s="2"/>
      <c r="R77" s="23"/>
      <c r="S77" s="2"/>
      <c r="T77" s="2"/>
      <c r="U77" s="2"/>
      <c r="V77" s="23"/>
      <c r="W77" s="2"/>
      <c r="X77" s="2">
        <f t="shared" si="2"/>
        <v>-153.96</v>
      </c>
      <c r="Y77" s="2"/>
      <c r="Z77" s="23">
        <f t="shared" si="3"/>
        <v>0</v>
      </c>
    </row>
    <row r="78" spans="1:26" s="24" customFormat="1" hidden="1" outlineLevel="1" x14ac:dyDescent="0.25">
      <c r="A78" s="51"/>
      <c r="B78" s="11" t="str">
        <f>CONCATENATE("          ", "4301", " - ", "SALES RETURN NON TAXABLE-NEW T")</f>
        <v xml:space="preserve">          4301 - SALES RETURN NON TAXABLE-NEW T</v>
      </c>
      <c r="C78" s="11"/>
      <c r="D78" s="2">
        <f>-20.25</f>
        <v>-20.25</v>
      </c>
      <c r="E78" s="2"/>
      <c r="F78" s="23"/>
      <c r="G78" s="2"/>
      <c r="H78" s="2"/>
      <c r="I78" s="2"/>
      <c r="J78" s="23"/>
      <c r="K78" s="2"/>
      <c r="L78" s="2">
        <f t="shared" si="0"/>
        <v>-20.25</v>
      </c>
      <c r="M78" s="2"/>
      <c r="N78" s="23">
        <f t="shared" si="1"/>
        <v>0</v>
      </c>
      <c r="O78" s="11"/>
      <c r="P78" s="2">
        <f>-20.25</f>
        <v>-20.25</v>
      </c>
      <c r="Q78" s="2"/>
      <c r="R78" s="23"/>
      <c r="S78" s="2"/>
      <c r="T78" s="2"/>
      <c r="U78" s="2"/>
      <c r="V78" s="23"/>
      <c r="W78" s="2"/>
      <c r="X78" s="2">
        <f t="shared" si="2"/>
        <v>-20.25</v>
      </c>
      <c r="Y78" s="2"/>
      <c r="Z78" s="23">
        <f t="shared" si="3"/>
        <v>0</v>
      </c>
    </row>
    <row r="79" spans="1:26" s="24" customFormat="1" hidden="1" outlineLevel="1" x14ac:dyDescent="0.25">
      <c r="A79" s="51"/>
      <c r="B79" s="11" t="str">
        <f>CONCATENATE("          ", "4302", " - ", "SALES RETURN NON TAXABLE-TEXT")</f>
        <v xml:space="preserve">          4302 - SALES RETURN NON TAXABLE-TEXT</v>
      </c>
      <c r="C79" s="11"/>
      <c r="D79" s="2">
        <f>-346.17</f>
        <v>-346.17</v>
      </c>
      <c r="E79" s="2"/>
      <c r="F79" s="23"/>
      <c r="G79" s="2"/>
      <c r="H79" s="2"/>
      <c r="I79" s="2"/>
      <c r="J79" s="23"/>
      <c r="K79" s="2"/>
      <c r="L79" s="2">
        <f t="shared" si="0"/>
        <v>-346.17</v>
      </c>
      <c r="M79" s="2"/>
      <c r="N79" s="23">
        <f t="shared" si="1"/>
        <v>0</v>
      </c>
      <c r="O79" s="11"/>
      <c r="P79" s="2">
        <f>-409.84</f>
        <v>-409.84</v>
      </c>
      <c r="Q79" s="2"/>
      <c r="R79" s="23"/>
      <c r="S79" s="2"/>
      <c r="T79" s="2"/>
      <c r="U79" s="2"/>
      <c r="V79" s="23"/>
      <c r="W79" s="2"/>
      <c r="X79" s="2">
        <f t="shared" si="2"/>
        <v>-409.84</v>
      </c>
      <c r="Y79" s="2"/>
      <c r="Z79" s="23">
        <f t="shared" si="3"/>
        <v>0</v>
      </c>
    </row>
    <row r="80" spans="1:26" s="24" customFormat="1" hidden="1" outlineLevel="1" x14ac:dyDescent="0.25">
      <c r="A80" s="51"/>
      <c r="B80" s="11" t="str">
        <f>CONCATENATE("          ", "4304", " - ", "SALES RETURN NON TAXABLE-DIGIT")</f>
        <v xml:space="preserve">          4304 - SALES RETURN NON TAXABLE-DIGIT</v>
      </c>
      <c r="C80" s="11"/>
      <c r="D80" s="2">
        <f>-5500.68</f>
        <v>-5500.68</v>
      </c>
      <c r="E80" s="2"/>
      <c r="F80" s="23"/>
      <c r="G80" s="2"/>
      <c r="H80" s="2"/>
      <c r="I80" s="2"/>
      <c r="J80" s="23"/>
      <c r="K80" s="2"/>
      <c r="L80" s="2">
        <f t="shared" si="0"/>
        <v>-5500.68</v>
      </c>
      <c r="M80" s="2"/>
      <c r="N80" s="23">
        <f t="shared" si="1"/>
        <v>0</v>
      </c>
      <c r="O80" s="11"/>
      <c r="P80" s="2">
        <f>-5952.73</f>
        <v>-5952.73</v>
      </c>
      <c r="Q80" s="2"/>
      <c r="R80" s="23"/>
      <c r="S80" s="2"/>
      <c r="T80" s="2"/>
      <c r="U80" s="2"/>
      <c r="V80" s="23"/>
      <c r="W80" s="2"/>
      <c r="X80" s="2">
        <f t="shared" si="2"/>
        <v>-5952.73</v>
      </c>
      <c r="Y80" s="2"/>
      <c r="Z80" s="23">
        <f t="shared" si="3"/>
        <v>0</v>
      </c>
    </row>
    <row r="81" spans="1:26" s="24" customFormat="1" hidden="1" outlineLevel="1" x14ac:dyDescent="0.25">
      <c r="A81" s="51"/>
      <c r="B81" s="11" t="str">
        <f>CONCATENATE("          ", "4340", " - ", "SALES RETURN NON TAXABLE-LOGO")</f>
        <v xml:space="preserve">          4340 - SALES RETURN NON TAXABLE-LOGO</v>
      </c>
      <c r="C81" s="11"/>
      <c r="D81" s="2">
        <f>-69.9</f>
        <v>-69.900000000000006</v>
      </c>
      <c r="E81" s="2"/>
      <c r="F81" s="23"/>
      <c r="G81" s="2"/>
      <c r="H81" s="2"/>
      <c r="I81" s="2"/>
      <c r="J81" s="23"/>
      <c r="K81" s="2"/>
      <c r="L81" s="2">
        <f t="shared" si="0"/>
        <v>-69.900000000000006</v>
      </c>
      <c r="M81" s="2"/>
      <c r="N81" s="23">
        <f t="shared" si="1"/>
        <v>0</v>
      </c>
      <c r="O81" s="11"/>
      <c r="P81" s="2">
        <f>-504.14</f>
        <v>-504.14</v>
      </c>
      <c r="Q81" s="2"/>
      <c r="R81" s="23"/>
      <c r="S81" s="2"/>
      <c r="T81" s="2"/>
      <c r="U81" s="2"/>
      <c r="V81" s="23"/>
      <c r="W81" s="2"/>
      <c r="X81" s="2">
        <f t="shared" si="2"/>
        <v>-504.14</v>
      </c>
      <c r="Y81" s="2"/>
      <c r="Z81" s="23">
        <f t="shared" si="3"/>
        <v>0</v>
      </c>
    </row>
    <row r="82" spans="1:26" s="24" customFormat="1" hidden="1" outlineLevel="1" x14ac:dyDescent="0.25">
      <c r="A82" s="51"/>
      <c r="B82" s="11" t="str">
        <f>CONCATENATE("          ", "4341", " - ", "SALES RETURN NON TAXABLE-LOGO")</f>
        <v xml:space="preserve">          4341 - SALES RETURN NON TAXABLE-LOGO</v>
      </c>
      <c r="C82" s="11"/>
      <c r="D82" s="2">
        <f>0</f>
        <v>0</v>
      </c>
      <c r="E82" s="2"/>
      <c r="F82" s="23"/>
      <c r="G82" s="2"/>
      <c r="H82" s="2"/>
      <c r="I82" s="2"/>
      <c r="J82" s="23"/>
      <c r="K82" s="2"/>
      <c r="L82" s="2">
        <f t="shared" si="0"/>
        <v>0</v>
      </c>
      <c r="M82" s="2"/>
      <c r="N82" s="23">
        <f t="shared" si="1"/>
        <v>0</v>
      </c>
      <c r="O82" s="11"/>
      <c r="P82" s="2">
        <f>-16.95</f>
        <v>-16.95</v>
      </c>
      <c r="Q82" s="2"/>
      <c r="R82" s="23"/>
      <c r="S82" s="2"/>
      <c r="T82" s="2"/>
      <c r="U82" s="2"/>
      <c r="V82" s="23"/>
      <c r="W82" s="2"/>
      <c r="X82" s="2">
        <f t="shared" si="2"/>
        <v>-16.95</v>
      </c>
      <c r="Y82" s="2"/>
      <c r="Z82" s="23">
        <f t="shared" si="3"/>
        <v>0</v>
      </c>
    </row>
    <row r="83" spans="1:26" s="24" customFormat="1" hidden="1" outlineLevel="1" x14ac:dyDescent="0.25">
      <c r="A83" s="51"/>
      <c r="B83" s="11" t="str">
        <f>CONCATENATE("          ", "4342", " - ", "SALES RETURN NON TAXABLE-EVERY")</f>
        <v xml:space="preserve">          4342 - SALES RETURN NON TAXABLE-EVERY</v>
      </c>
      <c r="C83" s="11"/>
      <c r="D83" s="2">
        <f>-13.9</f>
        <v>-13.9</v>
      </c>
      <c r="E83" s="2"/>
      <c r="F83" s="23"/>
      <c r="G83" s="2"/>
      <c r="H83" s="2"/>
      <c r="I83" s="2"/>
      <c r="J83" s="23"/>
      <c r="K83" s="2"/>
      <c r="L83" s="2">
        <f t="shared" si="0"/>
        <v>-13.9</v>
      </c>
      <c r="M83" s="2"/>
      <c r="N83" s="23">
        <f t="shared" si="1"/>
        <v>0</v>
      </c>
      <c r="O83" s="11"/>
      <c r="P83" s="2">
        <f>-93.75</f>
        <v>-93.75</v>
      </c>
      <c r="Q83" s="2"/>
      <c r="R83" s="23"/>
      <c r="S83" s="2"/>
      <c r="T83" s="2"/>
      <c r="U83" s="2"/>
      <c r="V83" s="23"/>
      <c r="W83" s="2"/>
      <c r="X83" s="2">
        <f t="shared" si="2"/>
        <v>-93.75</v>
      </c>
      <c r="Y83" s="2"/>
      <c r="Z83" s="23">
        <f t="shared" si="3"/>
        <v>0</v>
      </c>
    </row>
    <row r="84" spans="1:26" s="24" customFormat="1" hidden="1" outlineLevel="1" x14ac:dyDescent="0.25">
      <c r="A84" s="51"/>
      <c r="B84" s="11" t="str">
        <f>CONCATENATE("          ", "4381", " - ", "SALES RETURN NON TAXABLE-ELECT")</f>
        <v xml:space="preserve">          4381 - SALES RETURN NON TAXABLE-ELECT</v>
      </c>
      <c r="C84" s="11"/>
      <c r="D84" s="2">
        <f>-3625.2</f>
        <v>-3625.2</v>
      </c>
      <c r="E84" s="2"/>
      <c r="F84" s="23"/>
      <c r="G84" s="2"/>
      <c r="H84" s="2"/>
      <c r="I84" s="2"/>
      <c r="J84" s="23"/>
      <c r="K84" s="2"/>
      <c r="L84" s="2">
        <f t="shared" si="0"/>
        <v>-3625.2</v>
      </c>
      <c r="M84" s="2"/>
      <c r="N84" s="23">
        <f t="shared" si="1"/>
        <v>0</v>
      </c>
      <c r="O84" s="11"/>
      <c r="P84" s="2">
        <f>-5374.2</f>
        <v>-5374.2</v>
      </c>
      <c r="Q84" s="2"/>
      <c r="R84" s="23"/>
      <c r="S84" s="2"/>
      <c r="T84" s="2"/>
      <c r="U84" s="2"/>
      <c r="V84" s="23"/>
      <c r="W84" s="2"/>
      <c r="X84" s="2">
        <f t="shared" si="2"/>
        <v>-5374.2</v>
      </c>
      <c r="Y84" s="2"/>
      <c r="Z84" s="23">
        <f t="shared" si="3"/>
        <v>0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2" customFormat="1" collapsed="1" x14ac:dyDescent="0.25">
      <c r="A86" s="10"/>
      <c r="B86" s="25" t="s">
        <v>8</v>
      </c>
      <c r="C86" s="10"/>
      <c r="D86" s="4">
        <f>SUM(OSRRefD16x_0)</f>
        <v>1559887.0600000003</v>
      </c>
      <c r="E86" s="4"/>
      <c r="F86" s="12">
        <f t="shared" ref="F86:F115" si="5">IF(D$12=0,0,D86/D$12)</f>
        <v>0.74680044056564576</v>
      </c>
      <c r="G86" s="4"/>
      <c r="H86" s="4">
        <f>SUM(OSRRefH16x_0)</f>
        <v>1648037</v>
      </c>
      <c r="I86" s="4"/>
      <c r="J86" s="12">
        <f t="shared" ref="J86:J115" si="6">IF(H$12=0,0,H86/H$12)</f>
        <v>0.67405727149542061</v>
      </c>
      <c r="K86" s="4"/>
      <c r="L86" s="4">
        <f t="shared" ref="L86:L115" si="7">+D86-H86</f>
        <v>-88149.939999999711</v>
      </c>
      <c r="M86" s="4"/>
      <c r="N86" s="12">
        <f t="shared" ref="N86:N115" si="8">IF(H86=0,0,L86/H86)</f>
        <v>-5.3487840382224254E-2</v>
      </c>
      <c r="O86" s="10"/>
      <c r="P86" s="4">
        <f>SUM(OSRRefP16x_0)</f>
        <v>1885238.33</v>
      </c>
      <c r="Q86" s="4"/>
      <c r="R86" s="12">
        <f t="shared" ref="R86:R115" si="9">IF(P$12=0,0,P86/P$12)</f>
        <v>0.74680811286017057</v>
      </c>
      <c r="S86" s="4"/>
      <c r="T86" s="4">
        <f>SUM(OSRRefT16x_0)</f>
        <v>2063431</v>
      </c>
      <c r="U86" s="4"/>
      <c r="V86" s="12">
        <f t="shared" ref="V86:V115" si="10">IF(T$12=0,0,T86/T$12)</f>
        <v>0.66989162553899917</v>
      </c>
      <c r="W86" s="4"/>
      <c r="X86" s="4">
        <f t="shared" ref="X86:X115" si="11">+P86-T86</f>
        <v>-178192.66999999993</v>
      </c>
      <c r="Y86" s="4"/>
      <c r="Z86" s="12">
        <f t="shared" ref="Z86:Z115" si="12">IF(T86=0,0,X86/T86)</f>
        <v>-8.6357464824362878E-2</v>
      </c>
    </row>
    <row r="87" spans="1:26" s="24" customFormat="1" hidden="1" outlineLevel="1" x14ac:dyDescent="0.25">
      <c r="A87" s="51"/>
      <c r="B87" s="11" t="str">
        <f>CONCATENATE("          ", "5000", " - ", "PURCHASES @ COST")</f>
        <v xml:space="preserve">          5000 - PURCHASES @ COST</v>
      </c>
      <c r="C87" s="11"/>
      <c r="D87" s="2"/>
      <c r="E87" s="2"/>
      <c r="F87" s="23">
        <f t="shared" si="5"/>
        <v>0</v>
      </c>
      <c r="G87" s="2"/>
      <c r="H87" s="2">
        <v>1648037</v>
      </c>
      <c r="I87" s="2"/>
      <c r="J87" s="23">
        <f t="shared" si="6"/>
        <v>0.67405727149542061</v>
      </c>
      <c r="K87" s="2"/>
      <c r="L87" s="2">
        <f t="shared" si="7"/>
        <v>-1648037</v>
      </c>
      <c r="M87" s="2"/>
      <c r="N87" s="23">
        <f t="shared" si="8"/>
        <v>-1</v>
      </c>
      <c r="O87" s="11"/>
      <c r="P87" s="2"/>
      <c r="Q87" s="2"/>
      <c r="R87" s="23">
        <f t="shared" si="9"/>
        <v>0</v>
      </c>
      <c r="S87" s="2"/>
      <c r="T87" s="2">
        <v>2063431</v>
      </c>
      <c r="U87" s="2"/>
      <c r="V87" s="23">
        <f t="shared" si="10"/>
        <v>0.66989162553899917</v>
      </c>
      <c r="W87" s="2"/>
      <c r="X87" s="2">
        <f t="shared" si="11"/>
        <v>-2063431</v>
      </c>
      <c r="Y87" s="2"/>
      <c r="Z87" s="23">
        <f t="shared" si="12"/>
        <v>-1</v>
      </c>
    </row>
    <row r="88" spans="1:26" s="24" customFormat="1" hidden="1" outlineLevel="1" x14ac:dyDescent="0.25">
      <c r="A88" s="51"/>
      <c r="B88" s="11" t="str">
        <f>CONCATENATE("          ", "5001", " - ", "PURCHASES @ COST-NEW TEXT")</f>
        <v xml:space="preserve">          5001 - PURCHASES @ COST-NEW TEXT</v>
      </c>
      <c r="C88" s="11"/>
      <c r="D88" s="2">
        <v>538222.14</v>
      </c>
      <c r="E88" s="2"/>
      <c r="F88" s="23">
        <f t="shared" si="5"/>
        <v>0.25767540585546278</v>
      </c>
      <c r="G88" s="2"/>
      <c r="H88" s="2"/>
      <c r="I88" s="2"/>
      <c r="J88" s="23">
        <f t="shared" si="6"/>
        <v>0</v>
      </c>
      <c r="K88" s="2"/>
      <c r="L88" s="2">
        <f t="shared" si="7"/>
        <v>538222.14</v>
      </c>
      <c r="M88" s="2"/>
      <c r="N88" s="23">
        <f t="shared" si="8"/>
        <v>0</v>
      </c>
      <c r="O88" s="11"/>
      <c r="P88" s="2">
        <v>691332.77</v>
      </c>
      <c r="Q88" s="2"/>
      <c r="R88" s="23">
        <f t="shared" si="9"/>
        <v>0.27386082338040219</v>
      </c>
      <c r="S88" s="2"/>
      <c r="T88" s="2"/>
      <c r="U88" s="2"/>
      <c r="V88" s="23">
        <f t="shared" si="10"/>
        <v>0</v>
      </c>
      <c r="W88" s="2"/>
      <c r="X88" s="2">
        <f t="shared" si="11"/>
        <v>691332.77</v>
      </c>
      <c r="Y88" s="2"/>
      <c r="Z88" s="23">
        <f t="shared" si="12"/>
        <v>0</v>
      </c>
    </row>
    <row r="89" spans="1:26" s="24" customFormat="1" hidden="1" outlineLevel="1" x14ac:dyDescent="0.25">
      <c r="A89" s="51"/>
      <c r="B89" s="11" t="str">
        <f>CONCATENATE("          ", "5002", " - ", "PURCHASES @ COST-USED TEXT")</f>
        <v xml:space="preserve">          5002 - PURCHASES @ COST-USED TEXT</v>
      </c>
      <c r="C89" s="11"/>
      <c r="D89" s="2">
        <v>128042.67</v>
      </c>
      <c r="E89" s="2"/>
      <c r="F89" s="23">
        <f t="shared" si="5"/>
        <v>6.1300798512426646E-2</v>
      </c>
      <c r="G89" s="2"/>
      <c r="H89" s="2"/>
      <c r="I89" s="2"/>
      <c r="J89" s="23">
        <f t="shared" si="6"/>
        <v>0</v>
      </c>
      <c r="K89" s="2"/>
      <c r="L89" s="2">
        <f t="shared" si="7"/>
        <v>128042.67</v>
      </c>
      <c r="M89" s="2"/>
      <c r="N89" s="23">
        <f t="shared" si="8"/>
        <v>0</v>
      </c>
      <c r="O89" s="11"/>
      <c r="P89" s="2">
        <v>188367.52</v>
      </c>
      <c r="Q89" s="2"/>
      <c r="R89" s="23">
        <f t="shared" si="9"/>
        <v>7.4618890299854246E-2</v>
      </c>
      <c r="S89" s="2"/>
      <c r="T89" s="2"/>
      <c r="U89" s="2"/>
      <c r="V89" s="23">
        <f t="shared" si="10"/>
        <v>0</v>
      </c>
      <c r="W89" s="2"/>
      <c r="X89" s="2">
        <f t="shared" si="11"/>
        <v>188367.52</v>
      </c>
      <c r="Y89" s="2"/>
      <c r="Z89" s="23">
        <f t="shared" si="12"/>
        <v>0</v>
      </c>
    </row>
    <row r="90" spans="1:26" s="24" customFormat="1" hidden="1" outlineLevel="1" x14ac:dyDescent="0.25">
      <c r="A90" s="51"/>
      <c r="B90" s="11" t="str">
        <f>CONCATENATE("          ", "5003", " - ", "PURCHASES @ COST-RENTAL TEXT")</f>
        <v xml:space="preserve">          5003 - PURCHASES @ COST-RENTAL TEXT</v>
      </c>
      <c r="C90" s="11"/>
      <c r="D90" s="2">
        <v>58.8</v>
      </c>
      <c r="E90" s="2"/>
      <c r="F90" s="23">
        <f t="shared" si="5"/>
        <v>2.8150670026879997E-5</v>
      </c>
      <c r="G90" s="2"/>
      <c r="H90" s="2"/>
      <c r="I90" s="2"/>
      <c r="J90" s="23">
        <f t="shared" si="6"/>
        <v>0</v>
      </c>
      <c r="K90" s="2"/>
      <c r="L90" s="2">
        <f t="shared" si="7"/>
        <v>58.8</v>
      </c>
      <c r="M90" s="2"/>
      <c r="N90" s="23">
        <f t="shared" si="8"/>
        <v>0</v>
      </c>
      <c r="O90" s="11"/>
      <c r="P90" s="2">
        <v>-11867.84</v>
      </c>
      <c r="Q90" s="2"/>
      <c r="R90" s="23">
        <f t="shared" si="9"/>
        <v>-4.7012619322918427E-3</v>
      </c>
      <c r="S90" s="2"/>
      <c r="T90" s="2"/>
      <c r="U90" s="2"/>
      <c r="V90" s="23">
        <f t="shared" si="10"/>
        <v>0</v>
      </c>
      <c r="W90" s="2"/>
      <c r="X90" s="2">
        <f t="shared" si="11"/>
        <v>-11867.84</v>
      </c>
      <c r="Y90" s="2"/>
      <c r="Z90" s="23">
        <f t="shared" si="12"/>
        <v>0</v>
      </c>
    </row>
    <row r="91" spans="1:26" s="24" customFormat="1" hidden="1" outlineLevel="1" x14ac:dyDescent="0.25">
      <c r="A91" s="51"/>
      <c r="B91" s="11" t="str">
        <f>CONCATENATE("          ", "5004", " - ", "PURCHASES @ COST-DIGITAL TEXT")</f>
        <v xml:space="preserve">          5004 - PURCHASES @ COST-DIGITAL TEXT</v>
      </c>
      <c r="C91" s="11"/>
      <c r="D91" s="2">
        <v>117504.49</v>
      </c>
      <c r="E91" s="2"/>
      <c r="F91" s="23">
        <f t="shared" si="5"/>
        <v>5.6255614365081988E-2</v>
      </c>
      <c r="G91" s="2"/>
      <c r="H91" s="2"/>
      <c r="I91" s="2"/>
      <c r="J91" s="23">
        <f t="shared" si="6"/>
        <v>0</v>
      </c>
      <c r="K91" s="2"/>
      <c r="L91" s="2">
        <f t="shared" si="7"/>
        <v>117504.49</v>
      </c>
      <c r="M91" s="2"/>
      <c r="N91" s="23">
        <f t="shared" si="8"/>
        <v>0</v>
      </c>
      <c r="O91" s="11"/>
      <c r="P91" s="2">
        <v>122429.97</v>
      </c>
      <c r="Q91" s="2"/>
      <c r="R91" s="23">
        <f t="shared" si="9"/>
        <v>4.8498745966631868E-2</v>
      </c>
      <c r="S91" s="2"/>
      <c r="T91" s="2"/>
      <c r="U91" s="2"/>
      <c r="V91" s="23">
        <f t="shared" si="10"/>
        <v>0</v>
      </c>
      <c r="W91" s="2"/>
      <c r="X91" s="2">
        <f t="shared" si="11"/>
        <v>122429.97</v>
      </c>
      <c r="Y91" s="2"/>
      <c r="Z91" s="23">
        <f t="shared" si="12"/>
        <v>0</v>
      </c>
    </row>
    <row r="92" spans="1:26" s="24" customFormat="1" hidden="1" outlineLevel="1" x14ac:dyDescent="0.25">
      <c r="A92" s="51"/>
      <c r="B92" s="11" t="str">
        <f>CONCATENATE("          ", "5013", " - ", "PURCHASES @ COST-TRADE BOOKS")</f>
        <v xml:space="preserve">          5013 - PURCHASES @ COST-TRADE BOOKS</v>
      </c>
      <c r="C92" s="11"/>
      <c r="D92" s="2"/>
      <c r="E92" s="2"/>
      <c r="F92" s="23">
        <f t="shared" si="5"/>
        <v>0</v>
      </c>
      <c r="G92" s="2"/>
      <c r="H92" s="2"/>
      <c r="I92" s="2"/>
      <c r="J92" s="23">
        <f t="shared" si="6"/>
        <v>0</v>
      </c>
      <c r="K92" s="2"/>
      <c r="L92" s="2">
        <f t="shared" si="7"/>
        <v>0</v>
      </c>
      <c r="M92" s="2"/>
      <c r="N92" s="23">
        <f t="shared" si="8"/>
        <v>0</v>
      </c>
      <c r="O92" s="11"/>
      <c r="P92" s="2">
        <v>108.54</v>
      </c>
      <c r="Q92" s="2"/>
      <c r="R92" s="23">
        <f t="shared" si="9"/>
        <v>4.2996448395913376E-5</v>
      </c>
      <c r="S92" s="2"/>
      <c r="T92" s="2"/>
      <c r="U92" s="2"/>
      <c r="V92" s="23">
        <f t="shared" si="10"/>
        <v>0</v>
      </c>
      <c r="W92" s="2"/>
      <c r="X92" s="2">
        <f t="shared" si="11"/>
        <v>108.54</v>
      </c>
      <c r="Y92" s="2"/>
      <c r="Z92" s="23">
        <f t="shared" si="12"/>
        <v>0</v>
      </c>
    </row>
    <row r="93" spans="1:26" s="24" customFormat="1" hidden="1" outlineLevel="1" x14ac:dyDescent="0.25">
      <c r="A93" s="51"/>
      <c r="B93" s="11" t="str">
        <f>CONCATENATE("          ", "5014", " - ", "PURCHASES @ COST-REMAINDERS")</f>
        <v xml:space="preserve">          5014 - PURCHASES @ COST-REMAINDERS</v>
      </c>
      <c r="C93" s="11"/>
      <c r="D93" s="2"/>
      <c r="E93" s="2"/>
      <c r="F93" s="23">
        <f t="shared" si="5"/>
        <v>0</v>
      </c>
      <c r="G93" s="2"/>
      <c r="H93" s="2"/>
      <c r="I93" s="2"/>
      <c r="J93" s="23">
        <f t="shared" si="6"/>
        <v>0</v>
      </c>
      <c r="K93" s="2"/>
      <c r="L93" s="2">
        <f t="shared" si="7"/>
        <v>0</v>
      </c>
      <c r="M93" s="2"/>
      <c r="N93" s="23">
        <f t="shared" si="8"/>
        <v>0</v>
      </c>
      <c r="O93" s="11"/>
      <c r="P93" s="2">
        <v>-12.51</v>
      </c>
      <c r="Q93" s="2"/>
      <c r="R93" s="23">
        <f t="shared" si="9"/>
        <v>-4.9556437205903479E-6</v>
      </c>
      <c r="S93" s="2"/>
      <c r="T93" s="2"/>
      <c r="U93" s="2"/>
      <c r="V93" s="23">
        <f t="shared" si="10"/>
        <v>0</v>
      </c>
      <c r="W93" s="2"/>
      <c r="X93" s="2">
        <f t="shared" si="11"/>
        <v>-12.51</v>
      </c>
      <c r="Y93" s="2"/>
      <c r="Z93" s="23">
        <f t="shared" si="12"/>
        <v>0</v>
      </c>
    </row>
    <row r="94" spans="1:26" s="24" customFormat="1" hidden="1" outlineLevel="1" x14ac:dyDescent="0.25">
      <c r="A94" s="51"/>
      <c r="B94" s="11" t="str">
        <f>CONCATENATE("          ", "5027", " - ", "PURCHASES @ COST-SCHOOL SUPPLI")</f>
        <v xml:space="preserve">          5027 - PURCHASES @ COST-SCHOOL SUPPLI</v>
      </c>
      <c r="C94" s="11"/>
      <c r="D94" s="2"/>
      <c r="E94" s="2"/>
      <c r="F94" s="23">
        <f t="shared" si="5"/>
        <v>0</v>
      </c>
      <c r="G94" s="2"/>
      <c r="H94" s="2"/>
      <c r="I94" s="2"/>
      <c r="J94" s="23">
        <f t="shared" si="6"/>
        <v>0</v>
      </c>
      <c r="K94" s="2"/>
      <c r="L94" s="2">
        <f t="shared" si="7"/>
        <v>0</v>
      </c>
      <c r="M94" s="2"/>
      <c r="N94" s="23">
        <f t="shared" si="8"/>
        <v>0</v>
      </c>
      <c r="O94" s="11"/>
      <c r="P94" s="2">
        <v>8503.4</v>
      </c>
      <c r="Q94" s="2"/>
      <c r="R94" s="23">
        <f t="shared" si="9"/>
        <v>3.3684908723955204E-3</v>
      </c>
      <c r="S94" s="2"/>
      <c r="T94" s="2"/>
      <c r="U94" s="2"/>
      <c r="V94" s="23">
        <f t="shared" si="10"/>
        <v>0</v>
      </c>
      <c r="W94" s="2"/>
      <c r="X94" s="2">
        <f t="shared" si="11"/>
        <v>8503.4</v>
      </c>
      <c r="Y94" s="2"/>
      <c r="Z94" s="23">
        <f t="shared" si="12"/>
        <v>0</v>
      </c>
    </row>
    <row r="95" spans="1:26" s="24" customFormat="1" hidden="1" outlineLevel="1" x14ac:dyDescent="0.25">
      <c r="A95" s="51"/>
      <c r="B95" s="11" t="str">
        <f>CONCATENATE("          ", "5040", " - ", "PURCHASES @ COST-LOGO CLOTHING")</f>
        <v xml:space="preserve">          5040 - PURCHASES @ COST-LOGO CLOTHING</v>
      </c>
      <c r="C95" s="11"/>
      <c r="D95" s="2">
        <v>7628.83</v>
      </c>
      <c r="E95" s="2"/>
      <c r="F95" s="23">
        <f t="shared" si="5"/>
        <v>3.6523244221286213E-3</v>
      </c>
      <c r="G95" s="2"/>
      <c r="H95" s="2"/>
      <c r="I95" s="2"/>
      <c r="J95" s="23">
        <f t="shared" si="6"/>
        <v>0</v>
      </c>
      <c r="K95" s="2"/>
      <c r="L95" s="2">
        <f t="shared" si="7"/>
        <v>7628.83</v>
      </c>
      <c r="M95" s="2"/>
      <c r="N95" s="23">
        <f t="shared" si="8"/>
        <v>0</v>
      </c>
      <c r="O95" s="11"/>
      <c r="P95" s="2">
        <v>9351.9</v>
      </c>
      <c r="Q95" s="2"/>
      <c r="R95" s="23">
        <f t="shared" si="9"/>
        <v>3.7046110719895181E-3</v>
      </c>
      <c r="S95" s="2"/>
      <c r="T95" s="2"/>
      <c r="U95" s="2"/>
      <c r="V95" s="23">
        <f t="shared" si="10"/>
        <v>0</v>
      </c>
      <c r="W95" s="2"/>
      <c r="X95" s="2">
        <f t="shared" si="11"/>
        <v>9351.9</v>
      </c>
      <c r="Y95" s="2"/>
      <c r="Z95" s="23">
        <f t="shared" si="12"/>
        <v>0</v>
      </c>
    </row>
    <row r="96" spans="1:26" s="24" customFormat="1" hidden="1" outlineLevel="1" x14ac:dyDescent="0.25">
      <c r="A96" s="51"/>
      <c r="B96" s="11" t="str">
        <f>CONCATENATE("          ", "5041", " - ", "PURCHASES @ COST-LOGO GIFTS")</f>
        <v xml:space="preserve">          5041 - PURCHASES @ COST-LOGO GIFTS</v>
      </c>
      <c r="C96" s="11"/>
      <c r="D96" s="2">
        <v>1843.29</v>
      </c>
      <c r="E96" s="2"/>
      <c r="F96" s="23">
        <f t="shared" si="5"/>
        <v>8.8248041758244274E-4</v>
      </c>
      <c r="G96" s="2"/>
      <c r="H96" s="2"/>
      <c r="I96" s="2"/>
      <c r="J96" s="23">
        <f t="shared" si="6"/>
        <v>0</v>
      </c>
      <c r="K96" s="2"/>
      <c r="L96" s="2">
        <f t="shared" si="7"/>
        <v>1843.29</v>
      </c>
      <c r="M96" s="2"/>
      <c r="N96" s="23">
        <f t="shared" si="8"/>
        <v>0</v>
      </c>
      <c r="O96" s="11"/>
      <c r="P96" s="2">
        <v>1129.54</v>
      </c>
      <c r="Q96" s="2"/>
      <c r="R96" s="23">
        <f t="shared" si="9"/>
        <v>4.4744986476064118E-4</v>
      </c>
      <c r="S96" s="2"/>
      <c r="T96" s="2"/>
      <c r="U96" s="2"/>
      <c r="V96" s="23">
        <f t="shared" si="10"/>
        <v>0</v>
      </c>
      <c r="W96" s="2"/>
      <c r="X96" s="2">
        <f t="shared" si="11"/>
        <v>1129.54</v>
      </c>
      <c r="Y96" s="2"/>
      <c r="Z96" s="23">
        <f t="shared" si="12"/>
        <v>0</v>
      </c>
    </row>
    <row r="97" spans="1:26" s="24" customFormat="1" hidden="1" outlineLevel="1" x14ac:dyDescent="0.25">
      <c r="A97" s="51"/>
      <c r="B97" s="11" t="str">
        <f>CONCATENATE("          ", "5042", " - ", "PURCHASES @ COST-EVERYDAY GIFT")</f>
        <v xml:space="preserve">          5042 - PURCHASES @ COST-EVERYDAY GIFT</v>
      </c>
      <c r="C97" s="11"/>
      <c r="D97" s="2">
        <v>732.99</v>
      </c>
      <c r="E97" s="2"/>
      <c r="F97" s="23">
        <f t="shared" si="5"/>
        <v>3.5092108202385664E-4</v>
      </c>
      <c r="G97" s="2"/>
      <c r="H97" s="2"/>
      <c r="I97" s="2"/>
      <c r="J97" s="23">
        <f t="shared" si="6"/>
        <v>0</v>
      </c>
      <c r="K97" s="2"/>
      <c r="L97" s="2">
        <f t="shared" si="7"/>
        <v>732.99</v>
      </c>
      <c r="M97" s="2"/>
      <c r="N97" s="23">
        <f t="shared" si="8"/>
        <v>0</v>
      </c>
      <c r="O97" s="11"/>
      <c r="P97" s="2">
        <v>969.15</v>
      </c>
      <c r="Q97" s="2"/>
      <c r="R97" s="23">
        <f t="shared" si="9"/>
        <v>3.839138378745112E-4</v>
      </c>
      <c r="S97" s="2"/>
      <c r="T97" s="2"/>
      <c r="U97" s="2"/>
      <c r="V97" s="23">
        <f t="shared" si="10"/>
        <v>0</v>
      </c>
      <c r="W97" s="2"/>
      <c r="X97" s="2">
        <f t="shared" si="11"/>
        <v>969.15</v>
      </c>
      <c r="Y97" s="2"/>
      <c r="Z97" s="23">
        <f t="shared" si="12"/>
        <v>0</v>
      </c>
    </row>
    <row r="98" spans="1:26" s="24" customFormat="1" hidden="1" outlineLevel="1" x14ac:dyDescent="0.25">
      <c r="A98" s="51"/>
      <c r="B98" s="11" t="str">
        <f>CONCATENATE("          ", "5043", " - ", "PURCHASES @ COST-CARDS")</f>
        <v xml:space="preserve">          5043 - PURCHASES @ COST-CARDS</v>
      </c>
      <c r="C98" s="11"/>
      <c r="D98" s="2">
        <v>1406.55</v>
      </c>
      <c r="E98" s="2"/>
      <c r="F98" s="23">
        <f t="shared" si="5"/>
        <v>6.7338987969911665E-4</v>
      </c>
      <c r="G98" s="2"/>
      <c r="H98" s="2"/>
      <c r="I98" s="2"/>
      <c r="J98" s="23">
        <f t="shared" si="6"/>
        <v>0</v>
      </c>
      <c r="K98" s="2"/>
      <c r="L98" s="2">
        <f t="shared" si="7"/>
        <v>1406.55</v>
      </c>
      <c r="M98" s="2"/>
      <c r="N98" s="23">
        <f t="shared" si="8"/>
        <v>0</v>
      </c>
      <c r="O98" s="11"/>
      <c r="P98" s="2">
        <v>1715.25</v>
      </c>
      <c r="Q98" s="2"/>
      <c r="R98" s="23">
        <f t="shared" si="9"/>
        <v>6.7946985545504343E-4</v>
      </c>
      <c r="S98" s="2"/>
      <c r="T98" s="2"/>
      <c r="U98" s="2"/>
      <c r="V98" s="23">
        <f t="shared" si="10"/>
        <v>0</v>
      </c>
      <c r="W98" s="2"/>
      <c r="X98" s="2">
        <f t="shared" si="11"/>
        <v>1715.25</v>
      </c>
      <c r="Y98" s="2"/>
      <c r="Z98" s="23">
        <f t="shared" si="12"/>
        <v>0</v>
      </c>
    </row>
    <row r="99" spans="1:26" s="24" customFormat="1" hidden="1" outlineLevel="1" x14ac:dyDescent="0.25">
      <c r="A99" s="51"/>
      <c r="B99" s="11" t="str">
        <f>CONCATENATE("          ", "5045", " - ", "PURCHASES @ COST-SPECIAL ORDER")</f>
        <v xml:space="preserve">          5045 - PURCHASES @ COST-SPECIAL ORDER</v>
      </c>
      <c r="C99" s="11"/>
      <c r="D99" s="2">
        <v>5633.96</v>
      </c>
      <c r="E99" s="2"/>
      <c r="F99" s="23">
        <f t="shared" si="5"/>
        <v>2.6972746412353885E-3</v>
      </c>
      <c r="G99" s="2"/>
      <c r="H99" s="2"/>
      <c r="I99" s="2"/>
      <c r="J99" s="23">
        <f t="shared" si="6"/>
        <v>0</v>
      </c>
      <c r="K99" s="2"/>
      <c r="L99" s="2">
        <f t="shared" si="7"/>
        <v>5633.96</v>
      </c>
      <c r="M99" s="2"/>
      <c r="N99" s="23">
        <f t="shared" si="8"/>
        <v>0</v>
      </c>
      <c r="O99" s="11"/>
      <c r="P99" s="2">
        <v>8390.17</v>
      </c>
      <c r="Q99" s="2"/>
      <c r="R99" s="23">
        <f t="shared" si="9"/>
        <v>3.3236365527726233E-3</v>
      </c>
      <c r="S99" s="2"/>
      <c r="T99" s="2"/>
      <c r="U99" s="2"/>
      <c r="V99" s="23">
        <f t="shared" si="10"/>
        <v>0</v>
      </c>
      <c r="W99" s="2"/>
      <c r="X99" s="2">
        <f t="shared" si="11"/>
        <v>8390.17</v>
      </c>
      <c r="Y99" s="2"/>
      <c r="Z99" s="23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"5081", " - ", "PURCHASES @ COST-ELECTRONICS")</f>
        <v xml:space="preserve">          5081 - PURCHASES @ COST-ELECTRONICS</v>
      </c>
      <c r="C100" s="11"/>
      <c r="D100" s="2">
        <v>745.55</v>
      </c>
      <c r="E100" s="2"/>
      <c r="F100" s="23">
        <f t="shared" si="5"/>
        <v>3.5693421834252353E-4</v>
      </c>
      <c r="G100" s="2"/>
      <c r="H100" s="2"/>
      <c r="I100" s="2"/>
      <c r="J100" s="23">
        <f t="shared" si="6"/>
        <v>0</v>
      </c>
      <c r="K100" s="2"/>
      <c r="L100" s="2">
        <f t="shared" si="7"/>
        <v>745.55</v>
      </c>
      <c r="M100" s="2"/>
      <c r="N100" s="23">
        <f t="shared" si="8"/>
        <v>0</v>
      </c>
      <c r="O100" s="11"/>
      <c r="P100" s="2">
        <v>7422.47</v>
      </c>
      <c r="Q100" s="2"/>
      <c r="R100" s="23">
        <f t="shared" si="9"/>
        <v>2.9402971100535762E-3</v>
      </c>
      <c r="S100" s="2"/>
      <c r="T100" s="2"/>
      <c r="U100" s="2"/>
      <c r="V100" s="23">
        <f t="shared" si="10"/>
        <v>0</v>
      </c>
      <c r="W100" s="2"/>
      <c r="X100" s="2">
        <f t="shared" si="11"/>
        <v>7422.47</v>
      </c>
      <c r="Y100" s="2"/>
      <c r="Z100" s="23">
        <f t="shared" si="12"/>
        <v>0</v>
      </c>
    </row>
    <row r="101" spans="1:26" s="24" customFormat="1" hidden="1" outlineLevel="1" x14ac:dyDescent="0.25">
      <c r="A101" s="51"/>
      <c r="B101" s="11" t="str">
        <f>CONCATENATE("          ", "5082", " - ", "PURCHASES @ COST-COMPUTER HARD")</f>
        <v xml:space="preserve">          5082 - PURCHASES @ COST-COMPUTER HARD</v>
      </c>
      <c r="C101" s="11"/>
      <c r="D101" s="2">
        <v>56751.23</v>
      </c>
      <c r="E101" s="2"/>
      <c r="F101" s="23">
        <f t="shared" si="5"/>
        <v>2.7169815465128797E-2</v>
      </c>
      <c r="G101" s="2"/>
      <c r="H101" s="2"/>
      <c r="I101" s="2"/>
      <c r="J101" s="23">
        <f t="shared" si="6"/>
        <v>0</v>
      </c>
      <c r="K101" s="2"/>
      <c r="L101" s="2">
        <f t="shared" si="7"/>
        <v>56751.23</v>
      </c>
      <c r="M101" s="2"/>
      <c r="N101" s="23">
        <f t="shared" si="8"/>
        <v>0</v>
      </c>
      <c r="O101" s="11"/>
      <c r="P101" s="2">
        <v>243223.8</v>
      </c>
      <c r="Q101" s="2"/>
      <c r="R101" s="23">
        <f t="shared" si="9"/>
        <v>9.6349360285221619E-2</v>
      </c>
      <c r="S101" s="2"/>
      <c r="T101" s="2"/>
      <c r="U101" s="2"/>
      <c r="V101" s="23">
        <f t="shared" si="10"/>
        <v>0</v>
      </c>
      <c r="W101" s="2"/>
      <c r="X101" s="2">
        <f t="shared" si="11"/>
        <v>243223.8</v>
      </c>
      <c r="Y101" s="2"/>
      <c r="Z101" s="23">
        <f t="shared" si="12"/>
        <v>0</v>
      </c>
    </row>
    <row r="102" spans="1:26" s="24" customFormat="1" hidden="1" outlineLevel="1" x14ac:dyDescent="0.25">
      <c r="A102" s="51"/>
      <c r="B102" s="11" t="str">
        <f>CONCATENATE("          ", "5083", " - ", "PURCHASES @ COST-COMPUTER EQUI")</f>
        <v xml:space="preserve">          5083 - PURCHASES @ COST-COMPUTER EQUI</v>
      </c>
      <c r="C102" s="11"/>
      <c r="D102" s="2">
        <v>7340.55</v>
      </c>
      <c r="E102" s="2"/>
      <c r="F102" s="23">
        <f t="shared" si="5"/>
        <v>3.5143095385342517E-3</v>
      </c>
      <c r="G102" s="2"/>
      <c r="H102" s="2"/>
      <c r="I102" s="2"/>
      <c r="J102" s="23">
        <f t="shared" si="6"/>
        <v>0</v>
      </c>
      <c r="K102" s="2"/>
      <c r="L102" s="2">
        <f t="shared" si="7"/>
        <v>7340.55</v>
      </c>
      <c r="M102" s="2"/>
      <c r="N102" s="23">
        <f t="shared" si="8"/>
        <v>0</v>
      </c>
      <c r="O102" s="11"/>
      <c r="P102" s="2">
        <v>37278.85</v>
      </c>
      <c r="Q102" s="2"/>
      <c r="R102" s="23">
        <f t="shared" si="9"/>
        <v>1.4767441959498759E-2</v>
      </c>
      <c r="S102" s="2"/>
      <c r="T102" s="2"/>
      <c r="U102" s="2"/>
      <c r="V102" s="23">
        <f t="shared" si="10"/>
        <v>0</v>
      </c>
      <c r="W102" s="2"/>
      <c r="X102" s="2">
        <f t="shared" si="11"/>
        <v>37278.85</v>
      </c>
      <c r="Y102" s="2"/>
      <c r="Z102" s="23">
        <f t="shared" si="12"/>
        <v>0</v>
      </c>
    </row>
    <row r="103" spans="1:26" s="24" customFormat="1" hidden="1" outlineLevel="1" x14ac:dyDescent="0.25">
      <c r="A103" s="51"/>
      <c r="B103" s="11" t="str">
        <f>CONCATENATE("          ", "5085", " - ", "PURCHASES @ COST-SOFTWARE")</f>
        <v xml:space="preserve">          5085 - PURCHASES @ COST-SOFTWARE</v>
      </c>
      <c r="C103" s="11"/>
      <c r="D103" s="2">
        <v>2364.2199999999998</v>
      </c>
      <c r="E103" s="2"/>
      <c r="F103" s="23">
        <f t="shared" si="5"/>
        <v>1.1318771614107182E-3</v>
      </c>
      <c r="G103" s="2"/>
      <c r="H103" s="2"/>
      <c r="I103" s="2"/>
      <c r="J103" s="23">
        <f t="shared" si="6"/>
        <v>0</v>
      </c>
      <c r="K103" s="2"/>
      <c r="L103" s="2">
        <f t="shared" si="7"/>
        <v>2364.2199999999998</v>
      </c>
      <c r="M103" s="2"/>
      <c r="N103" s="23">
        <f t="shared" si="8"/>
        <v>0</v>
      </c>
      <c r="O103" s="11"/>
      <c r="P103" s="2">
        <v>6228.56</v>
      </c>
      <c r="Q103" s="2"/>
      <c r="R103" s="23">
        <f t="shared" si="9"/>
        <v>2.4673480617362284E-3</v>
      </c>
      <c r="S103" s="2"/>
      <c r="T103" s="2"/>
      <c r="U103" s="2"/>
      <c r="V103" s="23">
        <f t="shared" si="10"/>
        <v>0</v>
      </c>
      <c r="W103" s="2"/>
      <c r="X103" s="2">
        <f t="shared" si="11"/>
        <v>6228.56</v>
      </c>
      <c r="Y103" s="2"/>
      <c r="Z103" s="23">
        <f t="shared" si="12"/>
        <v>0</v>
      </c>
    </row>
    <row r="104" spans="1:26" s="24" customFormat="1" hidden="1" outlineLevel="1" x14ac:dyDescent="0.25">
      <c r="A104" s="51"/>
      <c r="B104" s="11" t="str">
        <f>CONCATENATE("          ", "5086", " - ", "PURCHASES @ COST-COMPUTER SUPP")</f>
        <v xml:space="preserve">          5086 - PURCHASES @ COST-COMPUTER SUPP</v>
      </c>
      <c r="C104" s="11"/>
      <c r="D104" s="2">
        <v>21649.96</v>
      </c>
      <c r="E104" s="2"/>
      <c r="F104" s="23">
        <f t="shared" si="5"/>
        <v>1.0364980953318892E-2</v>
      </c>
      <c r="G104" s="2"/>
      <c r="H104" s="2"/>
      <c r="I104" s="2"/>
      <c r="J104" s="23">
        <f t="shared" si="6"/>
        <v>0</v>
      </c>
      <c r="K104" s="2"/>
      <c r="L104" s="2">
        <f t="shared" si="7"/>
        <v>21649.96</v>
      </c>
      <c r="M104" s="2"/>
      <c r="N104" s="23">
        <f t="shared" si="8"/>
        <v>0</v>
      </c>
      <c r="O104" s="11"/>
      <c r="P104" s="2">
        <v>21737.21</v>
      </c>
      <c r="Q104" s="2"/>
      <c r="R104" s="23">
        <f t="shared" si="9"/>
        <v>8.6108607705558515E-3</v>
      </c>
      <c r="S104" s="2"/>
      <c r="T104" s="2"/>
      <c r="U104" s="2"/>
      <c r="V104" s="23">
        <f t="shared" si="10"/>
        <v>0</v>
      </c>
      <c r="W104" s="2"/>
      <c r="X104" s="2">
        <f t="shared" si="11"/>
        <v>21737.21</v>
      </c>
      <c r="Y104" s="2"/>
      <c r="Z104" s="23">
        <f t="shared" si="12"/>
        <v>0</v>
      </c>
    </row>
    <row r="105" spans="1:26" s="24" customFormat="1" hidden="1" outlineLevel="1" x14ac:dyDescent="0.25">
      <c r="A105" s="51"/>
      <c r="B105" s="11" t="str">
        <f>CONCATENATE("          ", "5200", " - ", "PURCHASES OFFSET")</f>
        <v xml:space="preserve">          5200 - PURCHASES OFFSET</v>
      </c>
      <c r="C105" s="11"/>
      <c r="D105" s="2">
        <v>-586112.93000000005</v>
      </c>
      <c r="E105" s="2"/>
      <c r="F105" s="23">
        <f t="shared" si="5"/>
        <v>-0.28060326004962272</v>
      </c>
      <c r="G105" s="2"/>
      <c r="H105" s="2"/>
      <c r="I105" s="2"/>
      <c r="J105" s="23">
        <f t="shared" si="6"/>
        <v>0</v>
      </c>
      <c r="K105" s="2"/>
      <c r="L105" s="2">
        <f t="shared" si="7"/>
        <v>-586112.93000000005</v>
      </c>
      <c r="M105" s="2"/>
      <c r="N105" s="23">
        <f t="shared" si="8"/>
        <v>0</v>
      </c>
      <c r="O105" s="11"/>
      <c r="P105" s="2">
        <v>-1028934.9800000001</v>
      </c>
      <c r="Q105" s="2"/>
      <c r="R105" s="23">
        <f t="shared" si="9"/>
        <v>-0.40759673641348965</v>
      </c>
      <c r="S105" s="2"/>
      <c r="T105" s="2"/>
      <c r="U105" s="2"/>
      <c r="V105" s="23">
        <f t="shared" si="10"/>
        <v>0</v>
      </c>
      <c r="W105" s="2"/>
      <c r="X105" s="2">
        <f t="shared" si="11"/>
        <v>-1028934.9800000001</v>
      </c>
      <c r="Y105" s="2"/>
      <c r="Z105" s="23">
        <f t="shared" si="12"/>
        <v>0</v>
      </c>
    </row>
    <row r="106" spans="1:26" s="24" customFormat="1" hidden="1" outlineLevel="1" x14ac:dyDescent="0.25">
      <c r="A106" s="51"/>
      <c r="B106" s="11" t="str">
        <f>CONCATENATE("          ", "5300", " - ", "COG$ OFFSET")</f>
        <v xml:space="preserve">          5300 - COG$ OFFSET</v>
      </c>
      <c r="C106" s="11"/>
      <c r="D106" s="2">
        <v>1248893</v>
      </c>
      <c r="E106" s="2"/>
      <c r="F106" s="23">
        <f t="shared" si="5"/>
        <v>0.59791113506599058</v>
      </c>
      <c r="G106" s="2"/>
      <c r="H106" s="2"/>
      <c r="I106" s="2"/>
      <c r="J106" s="23">
        <f t="shared" si="6"/>
        <v>0</v>
      </c>
      <c r="K106" s="2"/>
      <c r="L106" s="2">
        <f t="shared" si="7"/>
        <v>1248893</v>
      </c>
      <c r="M106" s="2"/>
      <c r="N106" s="23">
        <f t="shared" si="8"/>
        <v>0</v>
      </c>
      <c r="O106" s="11"/>
      <c r="P106" s="2">
        <v>1568477</v>
      </c>
      <c r="Q106" s="2"/>
      <c r="R106" s="23">
        <f t="shared" si="9"/>
        <v>0.62132799328060639</v>
      </c>
      <c r="S106" s="2"/>
      <c r="T106" s="2"/>
      <c r="U106" s="2"/>
      <c r="V106" s="23">
        <f t="shared" si="10"/>
        <v>0</v>
      </c>
      <c r="W106" s="2"/>
      <c r="X106" s="2">
        <f t="shared" si="11"/>
        <v>1568477</v>
      </c>
      <c r="Y106" s="2"/>
      <c r="Z106" s="23">
        <f t="shared" si="12"/>
        <v>0</v>
      </c>
    </row>
    <row r="107" spans="1:26" s="24" customFormat="1" hidden="1" outlineLevel="1" x14ac:dyDescent="0.25">
      <c r="A107" s="51"/>
      <c r="B107" s="11" t="str">
        <f>CONCATENATE("          ", "5501", " - ", "FREIGHT-IN-NEW TEXT")</f>
        <v xml:space="preserve">          5501 - FREIGHT-IN-NEW TEXT</v>
      </c>
      <c r="C107" s="11"/>
      <c r="D107" s="2">
        <v>4680.5600000000004</v>
      </c>
      <c r="E107" s="2"/>
      <c r="F107" s="23">
        <f t="shared" si="5"/>
        <v>2.2408316343709772E-3</v>
      </c>
      <c r="G107" s="2"/>
      <c r="H107" s="2"/>
      <c r="I107" s="2"/>
      <c r="J107" s="23">
        <f t="shared" si="6"/>
        <v>0</v>
      </c>
      <c r="K107" s="2"/>
      <c r="L107" s="2">
        <f t="shared" si="7"/>
        <v>4680.5600000000004</v>
      </c>
      <c r="M107" s="2"/>
      <c r="N107" s="23">
        <f t="shared" si="8"/>
        <v>0</v>
      </c>
      <c r="O107" s="11"/>
      <c r="P107" s="2">
        <v>5483.28</v>
      </c>
      <c r="Q107" s="2"/>
      <c r="R107" s="23">
        <f t="shared" si="9"/>
        <v>2.1721168745194755E-3</v>
      </c>
      <c r="S107" s="2"/>
      <c r="T107" s="2"/>
      <c r="U107" s="2"/>
      <c r="V107" s="23">
        <f t="shared" si="10"/>
        <v>0</v>
      </c>
      <c r="W107" s="2"/>
      <c r="X107" s="2">
        <f t="shared" si="11"/>
        <v>5483.28</v>
      </c>
      <c r="Y107" s="2"/>
      <c r="Z107" s="23">
        <f t="shared" si="12"/>
        <v>0</v>
      </c>
    </row>
    <row r="108" spans="1:26" s="24" customFormat="1" hidden="1" outlineLevel="1" x14ac:dyDescent="0.25">
      <c r="A108" s="51"/>
      <c r="B108" s="11" t="str">
        <f>CONCATENATE("          ", "5502", " - ", "FREIGHT-IN-USED TEXT")</f>
        <v xml:space="preserve">          5502 - FREIGHT-IN-USED TEXT</v>
      </c>
      <c r="C108" s="11"/>
      <c r="D108" s="2">
        <v>1186.6600000000001</v>
      </c>
      <c r="E108" s="2"/>
      <c r="F108" s="23">
        <f t="shared" si="5"/>
        <v>5.6811690636220102E-4</v>
      </c>
      <c r="G108" s="2"/>
      <c r="H108" s="2"/>
      <c r="I108" s="2"/>
      <c r="J108" s="23">
        <f t="shared" si="6"/>
        <v>0</v>
      </c>
      <c r="K108" s="2"/>
      <c r="L108" s="2">
        <f t="shared" si="7"/>
        <v>1186.6600000000001</v>
      </c>
      <c r="M108" s="2"/>
      <c r="N108" s="23">
        <f t="shared" si="8"/>
        <v>0</v>
      </c>
      <c r="O108" s="11"/>
      <c r="P108" s="2">
        <v>1234.55</v>
      </c>
      <c r="Q108" s="2"/>
      <c r="R108" s="23">
        <f t="shared" si="9"/>
        <v>4.8904795805394189E-4</v>
      </c>
      <c r="S108" s="2"/>
      <c r="T108" s="2"/>
      <c r="U108" s="2"/>
      <c r="V108" s="23">
        <f t="shared" si="10"/>
        <v>0</v>
      </c>
      <c r="W108" s="2"/>
      <c r="X108" s="2">
        <f t="shared" si="11"/>
        <v>1234.55</v>
      </c>
      <c r="Y108" s="2"/>
      <c r="Z108" s="23">
        <f t="shared" si="12"/>
        <v>0</v>
      </c>
    </row>
    <row r="109" spans="1:26" s="24" customFormat="1" hidden="1" outlineLevel="1" x14ac:dyDescent="0.25">
      <c r="A109" s="51"/>
      <c r="B109" s="11" t="str">
        <f>CONCATENATE("          ", "5528", " - ", "FREIGHT-IN-ART/TECH")</f>
        <v xml:space="preserve">          5528 - FREIGHT-IN-ART/TECH</v>
      </c>
      <c r="C109" s="11"/>
      <c r="D109" s="2"/>
      <c r="E109" s="2"/>
      <c r="F109" s="23">
        <f t="shared" si="5"/>
        <v>0</v>
      </c>
      <c r="G109" s="2"/>
      <c r="H109" s="2"/>
      <c r="I109" s="2"/>
      <c r="J109" s="23">
        <f t="shared" si="6"/>
        <v>0</v>
      </c>
      <c r="K109" s="2"/>
      <c r="L109" s="2">
        <f t="shared" si="7"/>
        <v>0</v>
      </c>
      <c r="M109" s="2"/>
      <c r="N109" s="23">
        <f t="shared" si="8"/>
        <v>0</v>
      </c>
      <c r="O109" s="11"/>
      <c r="P109" s="2">
        <v>38.049999999999997</v>
      </c>
      <c r="Q109" s="2"/>
      <c r="R109" s="23">
        <f t="shared" si="9"/>
        <v>1.5072921148558171E-5</v>
      </c>
      <c r="S109" s="2"/>
      <c r="T109" s="2"/>
      <c r="U109" s="2"/>
      <c r="V109" s="23">
        <f t="shared" si="10"/>
        <v>0</v>
      </c>
      <c r="W109" s="2"/>
      <c r="X109" s="2">
        <f t="shared" si="11"/>
        <v>38.049999999999997</v>
      </c>
      <c r="Y109" s="2"/>
      <c r="Z109" s="23">
        <f t="shared" si="12"/>
        <v>0</v>
      </c>
    </row>
    <row r="110" spans="1:26" s="24" customFormat="1" hidden="1" outlineLevel="1" x14ac:dyDescent="0.25">
      <c r="A110" s="51"/>
      <c r="B110" s="11" t="str">
        <f>CONCATENATE("          ", "5540", " - ", "FREIGHT-IN-LOGO CLOTHING")</f>
        <v xml:space="preserve">          5540 - FREIGHT-IN-LOGO CLOTHING</v>
      </c>
      <c r="C110" s="11"/>
      <c r="D110" s="2">
        <v>1021.7</v>
      </c>
      <c r="E110" s="2"/>
      <c r="F110" s="23">
        <f t="shared" si="5"/>
        <v>4.8914182936162073E-4</v>
      </c>
      <c r="G110" s="2"/>
      <c r="H110" s="2"/>
      <c r="I110" s="2"/>
      <c r="J110" s="23">
        <f t="shared" si="6"/>
        <v>0</v>
      </c>
      <c r="K110" s="2"/>
      <c r="L110" s="2">
        <f t="shared" si="7"/>
        <v>1021.7</v>
      </c>
      <c r="M110" s="2"/>
      <c r="N110" s="23">
        <f t="shared" si="8"/>
        <v>0</v>
      </c>
      <c r="O110" s="11"/>
      <c r="P110" s="2">
        <v>1931.53</v>
      </c>
      <c r="Q110" s="2"/>
      <c r="R110" s="23">
        <f t="shared" si="9"/>
        <v>7.6514584457489001E-4</v>
      </c>
      <c r="S110" s="2"/>
      <c r="T110" s="2"/>
      <c r="U110" s="2"/>
      <c r="V110" s="23">
        <f t="shared" si="10"/>
        <v>0</v>
      </c>
      <c r="W110" s="2"/>
      <c r="X110" s="2">
        <f t="shared" si="11"/>
        <v>1931.53</v>
      </c>
      <c r="Y110" s="2"/>
      <c r="Z110" s="23">
        <f t="shared" si="12"/>
        <v>0</v>
      </c>
    </row>
    <row r="111" spans="1:26" s="24" customFormat="1" hidden="1" outlineLevel="1" x14ac:dyDescent="0.25">
      <c r="A111" s="51"/>
      <c r="B111" s="11" t="str">
        <f>CONCATENATE("          ", "5541", " - ", "FREIGHT-IN-LOGO GIFTS")</f>
        <v xml:space="preserve">          5541 - FREIGHT-IN-LOGO GIFTS</v>
      </c>
      <c r="C111" s="11"/>
      <c r="D111" s="2">
        <v>123.12</v>
      </c>
      <c r="E111" s="2"/>
      <c r="F111" s="23">
        <f t="shared" si="5"/>
        <v>5.8944056015467103E-5</v>
      </c>
      <c r="G111" s="2"/>
      <c r="H111" s="2"/>
      <c r="I111" s="2"/>
      <c r="J111" s="23">
        <f t="shared" si="6"/>
        <v>0</v>
      </c>
      <c r="K111" s="2"/>
      <c r="L111" s="2">
        <f t="shared" si="7"/>
        <v>123.12</v>
      </c>
      <c r="M111" s="2"/>
      <c r="N111" s="23">
        <f t="shared" si="8"/>
        <v>0</v>
      </c>
      <c r="O111" s="11"/>
      <c r="P111" s="2">
        <v>206.7</v>
      </c>
      <c r="Q111" s="2"/>
      <c r="R111" s="23">
        <f t="shared" si="9"/>
        <v>8.1881019747883678E-5</v>
      </c>
      <c r="S111" s="2"/>
      <c r="T111" s="2"/>
      <c r="U111" s="2"/>
      <c r="V111" s="23">
        <f t="shared" si="10"/>
        <v>0</v>
      </c>
      <c r="W111" s="2"/>
      <c r="X111" s="2">
        <f t="shared" si="11"/>
        <v>206.7</v>
      </c>
      <c r="Y111" s="2"/>
      <c r="Z111" s="23">
        <f t="shared" si="12"/>
        <v>0</v>
      </c>
    </row>
    <row r="112" spans="1:26" s="24" customFormat="1" hidden="1" outlineLevel="1" x14ac:dyDescent="0.25">
      <c r="A112" s="51"/>
      <c r="B112" s="11" t="str">
        <f>CONCATENATE("          ", "5542", " - ", "FREIGHT-IN-EVERYDAY GIFTS")</f>
        <v xml:space="preserve">          5542 - FREIGHT-IN-EVERYDAY GIFTS</v>
      </c>
      <c r="C112" s="11"/>
      <c r="D112" s="2"/>
      <c r="E112" s="2"/>
      <c r="F112" s="23">
        <f t="shared" si="5"/>
        <v>0</v>
      </c>
      <c r="G112" s="2"/>
      <c r="H112" s="2"/>
      <c r="I112" s="2"/>
      <c r="J112" s="23">
        <f t="shared" si="6"/>
        <v>0</v>
      </c>
      <c r="K112" s="2"/>
      <c r="L112" s="2">
        <f t="shared" si="7"/>
        <v>0</v>
      </c>
      <c r="M112" s="2"/>
      <c r="N112" s="23">
        <f t="shared" si="8"/>
        <v>0</v>
      </c>
      <c r="O112" s="11"/>
      <c r="P112" s="2">
        <v>5.94</v>
      </c>
      <c r="Q112" s="2"/>
      <c r="R112" s="23">
        <f t="shared" si="9"/>
        <v>2.353039464452971E-6</v>
      </c>
      <c r="S112" s="2"/>
      <c r="T112" s="2"/>
      <c r="U112" s="2"/>
      <c r="V112" s="23">
        <f t="shared" si="10"/>
        <v>0</v>
      </c>
      <c r="W112" s="2"/>
      <c r="X112" s="2">
        <f t="shared" si="11"/>
        <v>5.94</v>
      </c>
      <c r="Y112" s="2"/>
      <c r="Z112" s="23">
        <f t="shared" si="12"/>
        <v>0</v>
      </c>
    </row>
    <row r="113" spans="1:26" s="24" customFormat="1" hidden="1" outlineLevel="1" x14ac:dyDescent="0.25">
      <c r="A113" s="51"/>
      <c r="B113" s="11" t="str">
        <f>CONCATENATE("          ", "5545", " - ", "FREIGHT-IN-SPECIAL ORDERS")</f>
        <v xml:space="preserve">          5545 - FREIGHT-IN-SPECIAL ORDERS</v>
      </c>
      <c r="C113" s="11"/>
      <c r="D113" s="2">
        <v>145.6</v>
      </c>
      <c r="E113" s="2"/>
      <c r="F113" s="23">
        <f t="shared" si="5"/>
        <v>6.9706421018940942E-5</v>
      </c>
      <c r="G113" s="2"/>
      <c r="H113" s="2"/>
      <c r="I113" s="2"/>
      <c r="J113" s="23">
        <f t="shared" si="6"/>
        <v>0</v>
      </c>
      <c r="K113" s="2"/>
      <c r="L113" s="2">
        <f t="shared" si="7"/>
        <v>145.6</v>
      </c>
      <c r="M113" s="2"/>
      <c r="N113" s="23">
        <f t="shared" si="8"/>
        <v>0</v>
      </c>
      <c r="O113" s="11"/>
      <c r="P113" s="2">
        <v>446</v>
      </c>
      <c r="Q113" s="2"/>
      <c r="R113" s="23">
        <f t="shared" si="9"/>
        <v>1.7667602712896044E-4</v>
      </c>
      <c r="S113" s="2"/>
      <c r="T113" s="2"/>
      <c r="U113" s="2"/>
      <c r="V113" s="23">
        <f t="shared" si="10"/>
        <v>0</v>
      </c>
      <c r="W113" s="2"/>
      <c r="X113" s="2">
        <f t="shared" si="11"/>
        <v>446</v>
      </c>
      <c r="Y113" s="2"/>
      <c r="Z113" s="23">
        <f t="shared" si="12"/>
        <v>0</v>
      </c>
    </row>
    <row r="114" spans="1:26" s="24" customFormat="1" hidden="1" outlineLevel="1" x14ac:dyDescent="0.25">
      <c r="A114" s="51"/>
      <c r="B114" s="11" t="str">
        <f>CONCATENATE("          ", "5583", " - ", "FREIGHT-IN-COMPUTER EQUIPMENT")</f>
        <v xml:space="preserve">          5583 - FREIGHT-IN-COMPUTER EQUIPMENT</v>
      </c>
      <c r="C114" s="11"/>
      <c r="D114" s="2"/>
      <c r="E114" s="2"/>
      <c r="F114" s="23">
        <f t="shared" si="5"/>
        <v>0</v>
      </c>
      <c r="G114" s="2"/>
      <c r="H114" s="2"/>
      <c r="I114" s="2"/>
      <c r="J114" s="23">
        <f t="shared" si="6"/>
        <v>0</v>
      </c>
      <c r="K114" s="2"/>
      <c r="L114" s="2">
        <f t="shared" si="7"/>
        <v>0</v>
      </c>
      <c r="M114" s="2"/>
      <c r="N114" s="23">
        <f t="shared" si="8"/>
        <v>0</v>
      </c>
      <c r="O114" s="11"/>
      <c r="P114" s="2">
        <v>17.39</v>
      </c>
      <c r="Q114" s="2"/>
      <c r="R114" s="23">
        <f t="shared" si="9"/>
        <v>6.888780519669556E-6</v>
      </c>
      <c r="S114" s="2"/>
      <c r="T114" s="2"/>
      <c r="U114" s="2"/>
      <c r="V114" s="23">
        <f t="shared" si="10"/>
        <v>0</v>
      </c>
      <c r="W114" s="2"/>
      <c r="X114" s="2">
        <f t="shared" si="11"/>
        <v>17.39</v>
      </c>
      <c r="Y114" s="2"/>
      <c r="Z114" s="23">
        <f t="shared" si="12"/>
        <v>0</v>
      </c>
    </row>
    <row r="115" spans="1:26" s="24" customFormat="1" hidden="1" outlineLevel="1" x14ac:dyDescent="0.25">
      <c r="A115" s="51"/>
      <c r="B115" s="11" t="str">
        <f>CONCATENATE("          ", "5586", " - ", "FREIGHT-IN-COMPUTER SUPPLIES")</f>
        <v xml:space="preserve">          5586 - FREIGHT-IN-COMPUTER SUPPLIES</v>
      </c>
      <c r="C115" s="11"/>
      <c r="D115" s="2">
        <v>24.12</v>
      </c>
      <c r="E115" s="2"/>
      <c r="F115" s="23">
        <f t="shared" si="5"/>
        <v>1.1547519745720164E-5</v>
      </c>
      <c r="G115" s="2"/>
      <c r="H115" s="2"/>
      <c r="I115" s="2"/>
      <c r="J115" s="23">
        <f t="shared" si="6"/>
        <v>0</v>
      </c>
      <c r="K115" s="2"/>
      <c r="L115" s="2">
        <f t="shared" si="7"/>
        <v>24.12</v>
      </c>
      <c r="M115" s="2"/>
      <c r="N115" s="23">
        <f t="shared" si="8"/>
        <v>0</v>
      </c>
      <c r="O115" s="11"/>
      <c r="P115" s="2">
        <v>24.12</v>
      </c>
      <c r="Q115" s="2"/>
      <c r="R115" s="23">
        <f t="shared" si="9"/>
        <v>9.5547663102029732E-6</v>
      </c>
      <c r="S115" s="2"/>
      <c r="T115" s="2"/>
      <c r="U115" s="2"/>
      <c r="V115" s="23">
        <f t="shared" si="10"/>
        <v>0</v>
      </c>
      <c r="W115" s="2"/>
      <c r="X115" s="2">
        <f t="shared" si="11"/>
        <v>24.12</v>
      </c>
      <c r="Y115" s="2"/>
      <c r="Z115" s="23">
        <f t="shared" si="12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2" customFormat="1" x14ac:dyDescent="0.25">
      <c r="A117" s="10"/>
      <c r="B117" s="26" t="s">
        <v>6</v>
      </c>
      <c r="C117" s="26"/>
      <c r="D117" s="21">
        <f>D12-D86</f>
        <v>528873.17000000062</v>
      </c>
      <c r="E117" s="13"/>
      <c r="F117" s="20">
        <f>IF(D$12=0,0,D117/D$12)</f>
        <v>0.25319955943435424</v>
      </c>
      <c r="G117" s="13"/>
      <c r="H117" s="21">
        <f>H12-H86</f>
        <v>796914</v>
      </c>
      <c r="I117" s="13"/>
      <c r="J117" s="20">
        <f>IF(H$12=0,0,H117/H$12)</f>
        <v>0.32594272850457945</v>
      </c>
      <c r="K117" s="16"/>
      <c r="L117" s="21">
        <f>+D117-H117</f>
        <v>-268040.82999999938</v>
      </c>
      <c r="M117" s="16"/>
      <c r="N117" s="20">
        <f>IF(H117=0,0,L117/H117)</f>
        <v>-0.33634850184586967</v>
      </c>
      <c r="O117" s="25"/>
      <c r="P117" s="21">
        <f>P12-P86</f>
        <v>639156.22000000067</v>
      </c>
      <c r="Q117" s="13"/>
      <c r="R117" s="20">
        <f>IF(P$12=0,0,P117/P$12)</f>
        <v>0.25319188713982943</v>
      </c>
      <c r="S117" s="13"/>
      <c r="T117" s="21">
        <f>T12-T86</f>
        <v>1016815</v>
      </c>
      <c r="U117" s="13"/>
      <c r="V117" s="20">
        <f>IF(T$12=0,0,T117/T$12)</f>
        <v>0.33010837446100083</v>
      </c>
      <c r="W117" s="16"/>
      <c r="X117" s="21">
        <f>+P117-T117</f>
        <v>-377658.77999999933</v>
      </c>
      <c r="Y117" s="16"/>
      <c r="Z117" s="20">
        <f>IF(T117=0,0,X117/T117)</f>
        <v>-0.3714134626259441</v>
      </c>
    </row>
    <row r="118" spans="1:26" x14ac:dyDescent="0.25">
      <c r="A118" s="9"/>
      <c r="B118" s="10"/>
      <c r="C118" s="9"/>
      <c r="D118" s="1"/>
      <c r="E118" s="1"/>
      <c r="F118" s="5"/>
      <c r="G118" s="1"/>
      <c r="H118" s="1"/>
      <c r="I118" s="1"/>
      <c r="J118" s="5"/>
      <c r="K118" s="1"/>
      <c r="L118" s="1"/>
      <c r="M118" s="1"/>
      <c r="N118" s="5"/>
      <c r="O118" s="36"/>
      <c r="P118" s="1"/>
      <c r="Q118" s="1"/>
      <c r="R118" s="5"/>
      <c r="S118" s="1"/>
      <c r="T118" s="1"/>
      <c r="U118" s="1"/>
      <c r="V118" s="5"/>
      <c r="W118" s="1"/>
      <c r="X118" s="1"/>
      <c r="Y118" s="1"/>
      <c r="Z118" s="5"/>
    </row>
    <row r="119" spans="1:26" s="22" customFormat="1" x14ac:dyDescent="0.25">
      <c r="A119" s="10"/>
      <c r="B119" s="25" t="s">
        <v>9</v>
      </c>
      <c r="C119" s="10"/>
      <c r="D119" s="19">
        <f>SUM(OSRRefD22x_0)</f>
        <v>239023.71</v>
      </c>
      <c r="E119" s="19"/>
      <c r="F119" s="30">
        <f t="shared" ref="F119:F130" si="13">IF(D$12=0,0,D119/D$12)</f>
        <v>0.11443329232671186</v>
      </c>
      <c r="G119" s="19"/>
      <c r="H119" s="19">
        <f>SUM(OSRRefH22x_0)</f>
        <v>466522.36005896155</v>
      </c>
      <c r="I119" s="19"/>
      <c r="J119" s="30">
        <f t="shared" ref="J119:J130" si="14">IF(H$12=0,0,H119/H$12)</f>
        <v>0.19081051524507509</v>
      </c>
      <c r="K119" s="4"/>
      <c r="L119" s="19">
        <f t="shared" ref="L119:L130" si="15">+D119-H119</f>
        <v>-227498.65005896156</v>
      </c>
      <c r="M119" s="4"/>
      <c r="N119" s="30">
        <f t="shared" ref="N119:N130" si="16">IF(H119=0,0,L119/H119)</f>
        <v>-0.48764790187164681</v>
      </c>
      <c r="O119" s="10"/>
      <c r="P119" s="19">
        <f>SUM(OSRRefP22x_0)</f>
        <v>569404.17000000004</v>
      </c>
      <c r="Q119" s="19"/>
      <c r="R119" s="30">
        <f t="shared" ref="R119:R130" si="17">IF(P$12=0,0,P119/P$12)</f>
        <v>0.22556068741314619</v>
      </c>
      <c r="S119" s="19"/>
      <c r="T119" s="19">
        <f>SUM(OSRRefT22x_0)</f>
        <v>872791.63006266346</v>
      </c>
      <c r="U119" s="19"/>
      <c r="V119" s="30">
        <f t="shared" ref="V119:V130" si="18">IF(T$12=0,0,T119/T$12)</f>
        <v>0.28335127456140302</v>
      </c>
      <c r="W119" s="4"/>
      <c r="X119" s="19">
        <f t="shared" ref="X119:X130" si="19">+P119-T119</f>
        <v>-303387.46006266342</v>
      </c>
      <c r="Y119" s="4"/>
      <c r="Z119" s="30">
        <f t="shared" ref="Z119:Z130" si="20">IF(T119=0,0,X119/T119)</f>
        <v>-0.3476058312347487</v>
      </c>
    </row>
    <row r="120" spans="1:26" s="29" customFormat="1" outlineLevel="1" collapsed="1" x14ac:dyDescent="0.25">
      <c r="A120" s="28"/>
      <c r="B120" s="14" t="str">
        <f>CONCATENATE("     ","*Benefits                                         ")</f>
        <v xml:space="preserve">     *Benefits                                         </v>
      </c>
      <c r="C120" s="14"/>
      <c r="D120" s="1">
        <f>SUM(OSRRefD22_0x_0)</f>
        <v>48289.410000000011</v>
      </c>
      <c r="E120" s="1"/>
      <c r="F120" s="5">
        <f t="shared" si="13"/>
        <v>2.311869467181496E-2</v>
      </c>
      <c r="G120" s="1"/>
      <c r="H120" s="1">
        <f>SUM(OSRRefH22_0x_0)</f>
        <v>51380.627276807696</v>
      </c>
      <c r="I120" s="1"/>
      <c r="J120" s="5">
        <f t="shared" si="14"/>
        <v>2.1014992642718687E-2</v>
      </c>
      <c r="K120" s="1"/>
      <c r="L120" s="1">
        <f t="shared" si="15"/>
        <v>-3091.2172768076853</v>
      </c>
      <c r="M120" s="1"/>
      <c r="N120" s="5">
        <f t="shared" si="16"/>
        <v>-6.0163089488068706E-2</v>
      </c>
      <c r="O120" s="14"/>
      <c r="P120" s="1">
        <f>SUM(OSRRefP22_0x_0)</f>
        <v>91684.249999999985</v>
      </c>
      <c r="Q120" s="1"/>
      <c r="R120" s="5">
        <f t="shared" si="17"/>
        <v>3.631930278093809E-2</v>
      </c>
      <c r="S120" s="1"/>
      <c r="T120" s="1">
        <f>SUM(OSRRefT22_0x_0)</f>
        <v>105974.45880281727</v>
      </c>
      <c r="U120" s="1"/>
      <c r="V120" s="5">
        <f t="shared" si="18"/>
        <v>3.4404543923705205E-2</v>
      </c>
      <c r="W120" s="1"/>
      <c r="X120" s="1">
        <f t="shared" si="19"/>
        <v>-14290.208802817288</v>
      </c>
      <c r="Y120" s="1"/>
      <c r="Z120" s="5">
        <f t="shared" si="20"/>
        <v>-0.13484578231634611</v>
      </c>
    </row>
    <row r="121" spans="1:26" s="24" customFormat="1" hidden="1" outlineLevel="2" x14ac:dyDescent="0.25">
      <c r="A121" s="27"/>
      <c r="B121" s="11" t="str">
        <f>CONCATENATE("          ", "6111", " - ", "F.I.C.A.")</f>
        <v xml:space="preserve">          6111 - F.I.C.A.</v>
      </c>
      <c r="C121" s="11"/>
      <c r="D121" s="6">
        <v>11355.03</v>
      </c>
      <c r="E121" s="2"/>
      <c r="F121" s="7">
        <f t="shared" si="13"/>
        <v>5.4362534468592382E-3</v>
      </c>
      <c r="G121" s="2"/>
      <c r="H121" s="6">
        <v>12590.250827423079</v>
      </c>
      <c r="I121" s="2"/>
      <c r="J121" s="7">
        <f t="shared" si="14"/>
        <v>5.1494900418957591E-3</v>
      </c>
      <c r="K121" s="2"/>
      <c r="L121" s="6">
        <f t="shared" si="15"/>
        <v>-1235.2208274230779</v>
      </c>
      <c r="M121" s="2"/>
      <c r="N121" s="7">
        <f t="shared" si="16"/>
        <v>-9.810931047796273E-2</v>
      </c>
      <c r="O121" s="11"/>
      <c r="P121" s="6">
        <v>19341.769999999997</v>
      </c>
      <c r="Q121" s="2"/>
      <c r="R121" s="7">
        <f t="shared" si="17"/>
        <v>7.6619441283455438E-3</v>
      </c>
      <c r="S121" s="2"/>
      <c r="T121" s="6">
        <v>26044.801377951924</v>
      </c>
      <c r="U121" s="2"/>
      <c r="V121" s="7">
        <f t="shared" si="18"/>
        <v>8.4554290072779651E-3</v>
      </c>
      <c r="W121" s="2"/>
      <c r="X121" s="6">
        <f t="shared" si="19"/>
        <v>-6703.0313779519274</v>
      </c>
      <c r="Y121" s="2"/>
      <c r="Z121" s="7">
        <f t="shared" si="20"/>
        <v>-0.25736542508733967</v>
      </c>
    </row>
    <row r="122" spans="1:26" s="24" customFormat="1" hidden="1" outlineLevel="2" x14ac:dyDescent="0.25">
      <c r="A122" s="27"/>
      <c r="B122" s="11" t="str">
        <f>CONCATENATE("          ", "6112", " - ", "COMPENSATION INSURANCE")</f>
        <v xml:space="preserve">          6112 - COMPENSATION INSURANCE</v>
      </c>
      <c r="C122" s="11"/>
      <c r="D122" s="6">
        <v>2455.96</v>
      </c>
      <c r="E122" s="2"/>
      <c r="F122" s="7">
        <f t="shared" si="13"/>
        <v>1.1757979516873504E-3</v>
      </c>
      <c r="G122" s="2"/>
      <c r="H122" s="6">
        <v>3937.9473130769179</v>
      </c>
      <c r="I122" s="2"/>
      <c r="J122" s="7">
        <f t="shared" si="14"/>
        <v>1.6106446767550425E-3</v>
      </c>
      <c r="K122" s="2"/>
      <c r="L122" s="6">
        <f t="shared" si="15"/>
        <v>-1481.9873130769179</v>
      </c>
      <c r="M122" s="2"/>
      <c r="N122" s="7">
        <f t="shared" si="16"/>
        <v>-0.37633497740196176</v>
      </c>
      <c r="O122" s="11"/>
      <c r="P122" s="6">
        <v>4288.04</v>
      </c>
      <c r="Q122" s="2"/>
      <c r="R122" s="7">
        <f t="shared" si="17"/>
        <v>1.6986409671974608E-3</v>
      </c>
      <c r="S122" s="2"/>
      <c r="T122" s="6">
        <v>7351.2488106730716</v>
      </c>
      <c r="U122" s="2"/>
      <c r="V122" s="7">
        <f t="shared" si="18"/>
        <v>2.3865784780413876E-3</v>
      </c>
      <c r="W122" s="2"/>
      <c r="X122" s="6">
        <f t="shared" si="19"/>
        <v>-3063.2088106730716</v>
      </c>
      <c r="Y122" s="2"/>
      <c r="Z122" s="7">
        <f t="shared" si="20"/>
        <v>-0.4166923048809999</v>
      </c>
    </row>
    <row r="123" spans="1:26" s="24" customFormat="1" hidden="1" outlineLevel="2" x14ac:dyDescent="0.25">
      <c r="A123" s="27"/>
      <c r="B123" s="11" t="str">
        <f>CONCATENATE("          ", "6113", " - ", "GROUP INSURANCE")</f>
        <v xml:space="preserve">          6113 - GROUP INSURANCE</v>
      </c>
      <c r="C123" s="11"/>
      <c r="D123" s="6">
        <v>16571.080000000002</v>
      </c>
      <c r="E123" s="2"/>
      <c r="F123" s="7">
        <f t="shared" si="13"/>
        <v>7.9334524671603856E-3</v>
      </c>
      <c r="G123" s="2"/>
      <c r="H123" s="6">
        <v>18233.846153846156</v>
      </c>
      <c r="I123" s="2"/>
      <c r="J123" s="7">
        <f t="shared" si="14"/>
        <v>7.4577552490197787E-3</v>
      </c>
      <c r="K123" s="2"/>
      <c r="L123" s="6">
        <f t="shared" si="15"/>
        <v>-1662.7661538461543</v>
      </c>
      <c r="M123" s="2"/>
      <c r="N123" s="7">
        <f t="shared" si="16"/>
        <v>-9.1191191360108018E-2</v>
      </c>
      <c r="O123" s="11"/>
      <c r="P123" s="6">
        <v>31075.449999999997</v>
      </c>
      <c r="Q123" s="2"/>
      <c r="R123" s="7">
        <f t="shared" si="17"/>
        <v>1.2310060644046307E-2</v>
      </c>
      <c r="S123" s="2"/>
      <c r="T123" s="6">
        <v>37401.153846153829</v>
      </c>
      <c r="U123" s="2"/>
      <c r="V123" s="7">
        <f t="shared" si="18"/>
        <v>1.2142261964191766E-2</v>
      </c>
      <c r="W123" s="2"/>
      <c r="X123" s="6">
        <f t="shared" si="19"/>
        <v>-6325.7038461538323</v>
      </c>
      <c r="Y123" s="2"/>
      <c r="Z123" s="7">
        <f t="shared" si="20"/>
        <v>-0.16913124852174419</v>
      </c>
    </row>
    <row r="124" spans="1:26" s="24" customFormat="1" hidden="1" outlineLevel="2" x14ac:dyDescent="0.25">
      <c r="A124" s="27"/>
      <c r="B124" s="11" t="str">
        <f>CONCATENATE("          ", "6114", " - ", "STATE UNEMPLOYMENT INSURANCE")</f>
        <v xml:space="preserve">          6114 - STATE UNEMPLOYMENT INSURANCE</v>
      </c>
      <c r="C124" s="11"/>
      <c r="D124" s="6">
        <v>393.65</v>
      </c>
      <c r="E124" s="2"/>
      <c r="F124" s="7">
        <f t="shared" si="13"/>
        <v>1.8846107578369576E-4</v>
      </c>
      <c r="G124" s="2"/>
      <c r="H124" s="6">
        <v>556.58464400000003</v>
      </c>
      <c r="I124" s="2"/>
      <c r="J124" s="7">
        <f t="shared" si="14"/>
        <v>2.2764654342765972E-4</v>
      </c>
      <c r="K124" s="2"/>
      <c r="L124" s="6">
        <f t="shared" si="15"/>
        <v>-162.93464400000005</v>
      </c>
      <c r="M124" s="2"/>
      <c r="N124" s="7">
        <f t="shared" si="16"/>
        <v>-0.29274009938369777</v>
      </c>
      <c r="O124" s="11"/>
      <c r="P124" s="6">
        <v>683.2</v>
      </c>
      <c r="Q124" s="2"/>
      <c r="R124" s="7">
        <f t="shared" si="17"/>
        <v>2.706391518710892E-4</v>
      </c>
      <c r="S124" s="2"/>
      <c r="T124" s="6">
        <v>1036.2918815</v>
      </c>
      <c r="U124" s="2"/>
      <c r="V124" s="7">
        <f t="shared" si="18"/>
        <v>3.3643153225424203E-4</v>
      </c>
      <c r="W124" s="2"/>
      <c r="X124" s="6">
        <f t="shared" si="19"/>
        <v>-353.0918815</v>
      </c>
      <c r="Y124" s="2"/>
      <c r="Z124" s="7">
        <f t="shared" si="20"/>
        <v>-0.34072628359194568</v>
      </c>
    </row>
    <row r="125" spans="1:26" s="24" customFormat="1" hidden="1" outlineLevel="2" x14ac:dyDescent="0.25">
      <c r="A125" s="27"/>
      <c r="B125" s="11" t="str">
        <f>CONCATENATE("          ", "6115", " - ", "P.E.R.S.")</f>
        <v xml:space="preserve">          6115 - P.E.R.S.</v>
      </c>
      <c r="C125" s="11"/>
      <c r="D125" s="6">
        <v>6331.99</v>
      </c>
      <c r="E125" s="2"/>
      <c r="F125" s="7">
        <f t="shared" si="13"/>
        <v>3.0314585221684334E-3</v>
      </c>
      <c r="G125" s="2"/>
      <c r="H125" s="6">
        <v>4889.0335153846154</v>
      </c>
      <c r="I125" s="2"/>
      <c r="J125" s="7">
        <f t="shared" si="14"/>
        <v>1.9996447844495106E-3</v>
      </c>
      <c r="K125" s="2"/>
      <c r="L125" s="6">
        <f t="shared" si="15"/>
        <v>1442.9564846153844</v>
      </c>
      <c r="M125" s="2"/>
      <c r="N125" s="7">
        <f t="shared" si="16"/>
        <v>0.29514145895599747</v>
      </c>
      <c r="O125" s="11"/>
      <c r="P125" s="6">
        <v>14755.11</v>
      </c>
      <c r="Q125" s="2"/>
      <c r="R125" s="7">
        <f t="shared" si="17"/>
        <v>5.8450094498896758E-3</v>
      </c>
      <c r="S125" s="2"/>
      <c r="T125" s="6">
        <v>11000.325409615385</v>
      </c>
      <c r="U125" s="2"/>
      <c r="V125" s="7">
        <f t="shared" si="18"/>
        <v>3.5712489877806463E-3</v>
      </c>
      <c r="W125" s="2"/>
      <c r="X125" s="6">
        <f t="shared" si="19"/>
        <v>3754.7845903846155</v>
      </c>
      <c r="Y125" s="2"/>
      <c r="Z125" s="7">
        <f t="shared" si="20"/>
        <v>0.34133395609393136</v>
      </c>
    </row>
    <row r="126" spans="1:26" s="24" customFormat="1" hidden="1" outlineLevel="2" x14ac:dyDescent="0.25">
      <c r="A126" s="27"/>
      <c r="B126" s="11" t="str">
        <f>CONCATENATE("          ", "6116", " - ", "EDUCATIONAL BENEFITS")</f>
        <v xml:space="preserve">          6116 - EDUCATIONAL BENEFITS</v>
      </c>
      <c r="C126" s="11"/>
      <c r="D126" s="6"/>
      <c r="E126" s="2"/>
      <c r="F126" s="7">
        <f t="shared" si="13"/>
        <v>0</v>
      </c>
      <c r="G126" s="2"/>
      <c r="H126" s="6">
        <v>0</v>
      </c>
      <c r="I126" s="2"/>
      <c r="J126" s="7">
        <f t="shared" si="14"/>
        <v>0</v>
      </c>
      <c r="K126" s="2"/>
      <c r="L126" s="6">
        <f t="shared" si="15"/>
        <v>0</v>
      </c>
      <c r="M126" s="2"/>
      <c r="N126" s="7">
        <f t="shared" si="16"/>
        <v>0</v>
      </c>
      <c r="O126" s="11"/>
      <c r="P126" s="6">
        <v>0</v>
      </c>
      <c r="Q126" s="2"/>
      <c r="R126" s="7">
        <f t="shared" si="17"/>
        <v>0</v>
      </c>
      <c r="S126" s="2"/>
      <c r="T126" s="6">
        <v>0</v>
      </c>
      <c r="U126" s="2"/>
      <c r="V126" s="7">
        <f t="shared" si="18"/>
        <v>0</v>
      </c>
      <c r="W126" s="2"/>
      <c r="X126" s="6">
        <f t="shared" si="19"/>
        <v>0</v>
      </c>
      <c r="Y126" s="2"/>
      <c r="Z126" s="7">
        <f t="shared" si="20"/>
        <v>0</v>
      </c>
    </row>
    <row r="127" spans="1:26" s="24" customFormat="1" hidden="1" outlineLevel="2" x14ac:dyDescent="0.25">
      <c r="A127" s="27"/>
      <c r="B127" s="11" t="str">
        <f>CONCATENATE("          ", "6117", " - ", "RETIREMENT STAFF HOURLY")</f>
        <v xml:space="preserve">          6117 - RETIREMENT STAFF HOURLY</v>
      </c>
      <c r="C127" s="11"/>
      <c r="D127" s="6">
        <v>446.19</v>
      </c>
      <c r="E127" s="2"/>
      <c r="F127" s="7">
        <f t="shared" si="13"/>
        <v>2.1361475270907461E-4</v>
      </c>
      <c r="G127" s="2"/>
      <c r="H127" s="6"/>
      <c r="I127" s="2"/>
      <c r="J127" s="7">
        <f t="shared" si="14"/>
        <v>0</v>
      </c>
      <c r="K127" s="2"/>
      <c r="L127" s="6">
        <f t="shared" si="15"/>
        <v>446.19</v>
      </c>
      <c r="M127" s="2"/>
      <c r="N127" s="7">
        <f t="shared" si="16"/>
        <v>0</v>
      </c>
      <c r="O127" s="11"/>
      <c r="P127" s="6">
        <v>1026.8699999999999</v>
      </c>
      <c r="Q127" s="2"/>
      <c r="R127" s="7">
        <f t="shared" si="17"/>
        <v>4.0677872640788247E-4</v>
      </c>
      <c r="S127" s="2"/>
      <c r="T127" s="6"/>
      <c r="U127" s="2"/>
      <c r="V127" s="7">
        <f t="shared" si="18"/>
        <v>0</v>
      </c>
      <c r="W127" s="2"/>
      <c r="X127" s="6">
        <f t="shared" si="19"/>
        <v>1026.8699999999999</v>
      </c>
      <c r="Y127" s="2"/>
      <c r="Z127" s="7">
        <f t="shared" si="20"/>
        <v>0</v>
      </c>
    </row>
    <row r="128" spans="1:26" s="24" customFormat="1" hidden="1" outlineLevel="2" x14ac:dyDescent="0.25">
      <c r="A128" s="27"/>
      <c r="B128" s="11" t="str">
        <f>CONCATENATE("          ", "6118", " - ", "VACATION")</f>
        <v xml:space="preserve">          6118 - VACATION</v>
      </c>
      <c r="C128" s="11"/>
      <c r="D128" s="6">
        <v>5248.76</v>
      </c>
      <c r="E128" s="2"/>
      <c r="F128" s="7">
        <f t="shared" si="13"/>
        <v>2.5128590273858276E-3</v>
      </c>
      <c r="G128" s="2"/>
      <c r="H128" s="6">
        <v>4140.4924200000014</v>
      </c>
      <c r="I128" s="2"/>
      <c r="J128" s="7">
        <f t="shared" si="14"/>
        <v>1.693486871516035E-3</v>
      </c>
      <c r="K128" s="2"/>
      <c r="L128" s="6">
        <f t="shared" si="15"/>
        <v>1108.2675799999988</v>
      </c>
      <c r="M128" s="2"/>
      <c r="N128" s="7">
        <f t="shared" si="16"/>
        <v>0.26766564639671492</v>
      </c>
      <c r="O128" s="11"/>
      <c r="P128" s="6">
        <v>10240.26</v>
      </c>
      <c r="Q128" s="2"/>
      <c r="R128" s="7">
        <f t="shared" si="17"/>
        <v>4.0565211963399291E-3</v>
      </c>
      <c r="S128" s="2"/>
      <c r="T128" s="6">
        <v>9316.1079449999961</v>
      </c>
      <c r="U128" s="2"/>
      <c r="V128" s="7">
        <f t="shared" si="18"/>
        <v>3.0244688070368395E-3</v>
      </c>
      <c r="W128" s="2"/>
      <c r="X128" s="6">
        <f t="shared" si="19"/>
        <v>924.15205500000411</v>
      </c>
      <c r="Y128" s="2"/>
      <c r="Z128" s="7">
        <f t="shared" si="20"/>
        <v>9.9199371717885829E-2</v>
      </c>
    </row>
    <row r="129" spans="1:26" s="24" customFormat="1" hidden="1" outlineLevel="2" x14ac:dyDescent="0.25">
      <c r="A129" s="27"/>
      <c r="B129" s="11" t="str">
        <f>CONCATENATE("          ", "6119", " - ", "SICK LEAVE")</f>
        <v xml:space="preserve">          6119 - SICK LEAVE</v>
      </c>
      <c r="C129" s="11"/>
      <c r="D129" s="6">
        <v>3875.78</v>
      </c>
      <c r="E129" s="2"/>
      <c r="F129" s="7">
        <f t="shared" si="13"/>
        <v>1.8555408822581798E-3</v>
      </c>
      <c r="G129" s="2"/>
      <c r="H129" s="6">
        <v>5232.4724030769221</v>
      </c>
      <c r="I129" s="2"/>
      <c r="J129" s="7">
        <f t="shared" si="14"/>
        <v>2.1401134023041452E-3</v>
      </c>
      <c r="K129" s="2"/>
      <c r="L129" s="6">
        <f t="shared" si="15"/>
        <v>-1356.6924030769219</v>
      </c>
      <c r="M129" s="2"/>
      <c r="N129" s="7">
        <f t="shared" si="16"/>
        <v>-0.25928324099313499</v>
      </c>
      <c r="O129" s="11"/>
      <c r="P129" s="6">
        <v>7468.33</v>
      </c>
      <c r="Q129" s="2"/>
      <c r="R129" s="7">
        <f t="shared" si="17"/>
        <v>2.9584638423498411E-3</v>
      </c>
      <c r="S129" s="2"/>
      <c r="T129" s="6">
        <v>10224.52953192307</v>
      </c>
      <c r="U129" s="2"/>
      <c r="V129" s="7">
        <f t="shared" si="18"/>
        <v>3.3193873255327887E-3</v>
      </c>
      <c r="W129" s="2"/>
      <c r="X129" s="6">
        <f t="shared" si="19"/>
        <v>-2756.19953192307</v>
      </c>
      <c r="Y129" s="2"/>
      <c r="Z129" s="7">
        <f t="shared" si="20"/>
        <v>-0.26956736965917621</v>
      </c>
    </row>
    <row r="130" spans="1:26" s="24" customFormat="1" hidden="1" outlineLevel="2" x14ac:dyDescent="0.25">
      <c r="A130" s="27"/>
      <c r="B130" s="11" t="str">
        <f>CONCATENATE("          ", "6156", " - ", "EMPLOYEE MEALS")</f>
        <v xml:space="preserve">          6156 - EMPLOYEE MEALS</v>
      </c>
      <c r="C130" s="11"/>
      <c r="D130" s="6">
        <v>1610.97</v>
      </c>
      <c r="E130" s="2"/>
      <c r="F130" s="7">
        <f t="shared" si="13"/>
        <v>7.7125654580276995E-4</v>
      </c>
      <c r="G130" s="2"/>
      <c r="H130" s="6">
        <v>1800</v>
      </c>
      <c r="I130" s="2"/>
      <c r="J130" s="7">
        <f t="shared" si="14"/>
        <v>7.3621107335075425E-4</v>
      </c>
      <c r="K130" s="2"/>
      <c r="L130" s="6">
        <f t="shared" si="15"/>
        <v>-189.02999999999997</v>
      </c>
      <c r="M130" s="2"/>
      <c r="N130" s="7">
        <f t="shared" si="16"/>
        <v>-0.10501666666666665</v>
      </c>
      <c r="O130" s="11"/>
      <c r="P130" s="6">
        <v>2805.22</v>
      </c>
      <c r="Q130" s="2"/>
      <c r="R130" s="7">
        <f t="shared" si="17"/>
        <v>1.1112446744903641E-3</v>
      </c>
      <c r="S130" s="2"/>
      <c r="T130" s="6">
        <v>3600</v>
      </c>
      <c r="U130" s="2"/>
      <c r="V130" s="7">
        <f t="shared" si="18"/>
        <v>1.1687378215895744E-3</v>
      </c>
      <c r="W130" s="2"/>
      <c r="X130" s="6">
        <f t="shared" si="19"/>
        <v>-794.7800000000002</v>
      </c>
      <c r="Y130" s="2"/>
      <c r="Z130" s="7">
        <f t="shared" si="20"/>
        <v>-0.22077222222222229</v>
      </c>
    </row>
    <row r="131" spans="1:26" s="29" customFormat="1" outlineLevel="1" collapsed="1" x14ac:dyDescent="0.25">
      <c r="A131" s="28"/>
      <c r="B131" s="14" t="str">
        <f>CONCATENATE("     ","*Payroll                                          ")</f>
        <v xml:space="preserve">     *Payroll                                          </v>
      </c>
      <c r="C131" s="14"/>
      <c r="D131" s="1">
        <f>SUM(OSRRefD22_1x_0)</f>
        <v>169225.68</v>
      </c>
      <c r="E131" s="1"/>
      <c r="F131" s="5">
        <f t="shared" ref="F131:F141" si="21">IF(D$12=0,0,D131/D$12)</f>
        <v>8.1017283635278672E-2</v>
      </c>
      <c r="G131" s="1"/>
      <c r="H131" s="1">
        <f>SUM(OSRRefH22_1x_0)</f>
        <v>203215.73278215385</v>
      </c>
      <c r="I131" s="1"/>
      <c r="J131" s="5">
        <f t="shared" ref="J131:J141" si="22">IF(H$12=0,0,H131/H$12)</f>
        <v>8.3116484862949744E-2</v>
      </c>
      <c r="K131" s="1"/>
      <c r="L131" s="1">
        <f t="shared" ref="L131:L141" si="23">+D131-H131</f>
        <v>-33990.052782153856</v>
      </c>
      <c r="M131" s="1"/>
      <c r="N131" s="5">
        <f t="shared" ref="N131:N141" si="24">IF(H131=0,0,L131/H131)</f>
        <v>-0.16726093160607308</v>
      </c>
      <c r="O131" s="14"/>
      <c r="P131" s="1">
        <f>SUM(OSRRefP22_1x_0)</f>
        <v>296121.06</v>
      </c>
      <c r="Q131" s="1"/>
      <c r="R131" s="5">
        <f t="shared" ref="R131:R141" si="25">IF(P$12=0,0,P131/P$12)</f>
        <v>0.11730379468613569</v>
      </c>
      <c r="S131" s="1"/>
      <c r="T131" s="1">
        <f>SUM(OSRRefT22_1x_0)</f>
        <v>375148.17125984619</v>
      </c>
      <c r="U131" s="1"/>
      <c r="V131" s="5">
        <f t="shared" ref="V131:V141" si="26">IF(T$12=0,0,T131/T$12)</f>
        <v>0.12179162679209589</v>
      </c>
      <c r="W131" s="1"/>
      <c r="X131" s="1">
        <f t="shared" ref="X131:X141" si="27">+P131-T131</f>
        <v>-79027.111259846191</v>
      </c>
      <c r="Y131" s="1"/>
      <c r="Z131" s="5">
        <f t="shared" ref="Z131:Z141" si="28">IF(T131=0,0,X131/T131)</f>
        <v>-0.21065572836048321</v>
      </c>
    </row>
    <row r="132" spans="1:26" s="24" customFormat="1" hidden="1" outlineLevel="2" x14ac:dyDescent="0.25">
      <c r="A132" s="27"/>
      <c r="B132" s="11" t="str">
        <f>CONCATENATE("          ", "6001", " - ", "ADMINISTRATIVE SALARIES")</f>
        <v xml:space="preserve">          6001 - ADMINISTRATIVE SALARIES</v>
      </c>
      <c r="C132" s="11"/>
      <c r="D132" s="6">
        <v>4205.74</v>
      </c>
      <c r="E132" s="2"/>
      <c r="F132" s="7">
        <f t="shared" si="21"/>
        <v>2.0135101863750049E-3</v>
      </c>
      <c r="G132" s="2"/>
      <c r="H132" s="6">
        <v>7759.6923076923094</v>
      </c>
      <c r="I132" s="2"/>
      <c r="J132" s="7">
        <f t="shared" si="22"/>
        <v>3.173761890398748E-3</v>
      </c>
      <c r="K132" s="2"/>
      <c r="L132" s="6">
        <f t="shared" si="23"/>
        <v>-3553.9523076923097</v>
      </c>
      <c r="M132" s="2"/>
      <c r="N132" s="7">
        <f t="shared" si="24"/>
        <v>-0.45800170506364263</v>
      </c>
      <c r="O132" s="11"/>
      <c r="P132" s="6">
        <v>8731.59</v>
      </c>
      <c r="Q132" s="2"/>
      <c r="R132" s="7">
        <f t="shared" si="25"/>
        <v>3.4588848244819725E-3</v>
      </c>
      <c r="S132" s="2"/>
      <c r="T132" s="6">
        <v>17459.307692307699</v>
      </c>
      <c r="U132" s="2"/>
      <c r="V132" s="7">
        <f t="shared" si="26"/>
        <v>5.6681536774360547E-3</v>
      </c>
      <c r="W132" s="2"/>
      <c r="X132" s="6">
        <f t="shared" si="27"/>
        <v>-8727.7176923076986</v>
      </c>
      <c r="Y132" s="2"/>
      <c r="Z132" s="7">
        <f t="shared" si="28"/>
        <v>-0.49988910477550014</v>
      </c>
    </row>
    <row r="133" spans="1:26" s="24" customFormat="1" hidden="1" outlineLevel="2" x14ac:dyDescent="0.25">
      <c r="A133" s="27"/>
      <c r="B133" s="11" t="str">
        <f>CONCATENATE("          ", "6002", " - ", "STAFF SALARIES")</f>
        <v xml:space="preserve">          6002 - STAFF SALARIES</v>
      </c>
      <c r="C133" s="11"/>
      <c r="D133" s="6">
        <v>56112.83</v>
      </c>
      <c r="E133" s="2"/>
      <c r="F133" s="7">
        <f t="shared" si="21"/>
        <v>2.6864179619122668E-2</v>
      </c>
      <c r="G133" s="2"/>
      <c r="H133" s="6">
        <v>43375.460394461545</v>
      </c>
      <c r="I133" s="2"/>
      <c r="J133" s="7">
        <f t="shared" si="22"/>
        <v>1.7740830141160926E-2</v>
      </c>
      <c r="K133" s="2"/>
      <c r="L133" s="6">
        <f t="shared" si="23"/>
        <v>12737.369605538457</v>
      </c>
      <c r="M133" s="2"/>
      <c r="N133" s="7">
        <f t="shared" si="24"/>
        <v>0.29365381922643169</v>
      </c>
      <c r="O133" s="11"/>
      <c r="P133" s="6">
        <v>123174.29999999999</v>
      </c>
      <c r="Q133" s="2"/>
      <c r="R133" s="7">
        <f t="shared" si="25"/>
        <v>4.8793600825988138E-2</v>
      </c>
      <c r="S133" s="2"/>
      <c r="T133" s="6">
        <v>97594.785887538543</v>
      </c>
      <c r="U133" s="2"/>
      <c r="V133" s="7">
        <f t="shared" si="26"/>
        <v>3.1684088182417428E-2</v>
      </c>
      <c r="W133" s="2"/>
      <c r="X133" s="6">
        <f t="shared" si="27"/>
        <v>25579.514112461446</v>
      </c>
      <c r="Y133" s="2"/>
      <c r="Z133" s="7">
        <f t="shared" si="28"/>
        <v>0.26209918777769031</v>
      </c>
    </row>
    <row r="134" spans="1:26" s="24" customFormat="1" hidden="1" outlineLevel="2" x14ac:dyDescent="0.25">
      <c r="A134" s="27"/>
      <c r="B134" s="11" t="str">
        <f>CONCATENATE("          ", "6003", " - ", "STAFF HOURLY-9 MONTH")</f>
        <v xml:space="preserve">          6003 - STAFF HOURLY-9 MONTH</v>
      </c>
      <c r="C134" s="11"/>
      <c r="D134" s="6"/>
      <c r="E134" s="2"/>
      <c r="F134" s="7">
        <f t="shared" si="21"/>
        <v>0</v>
      </c>
      <c r="G134" s="2"/>
      <c r="H134" s="6">
        <v>0</v>
      </c>
      <c r="I134" s="2"/>
      <c r="J134" s="7">
        <f t="shared" si="22"/>
        <v>0</v>
      </c>
      <c r="K134" s="2"/>
      <c r="L134" s="6">
        <f t="shared" si="23"/>
        <v>0</v>
      </c>
      <c r="M134" s="2"/>
      <c r="N134" s="7">
        <f t="shared" si="24"/>
        <v>0</v>
      </c>
      <c r="O134" s="11"/>
      <c r="P134" s="6"/>
      <c r="Q134" s="2"/>
      <c r="R134" s="7">
        <f t="shared" si="25"/>
        <v>0</v>
      </c>
      <c r="S134" s="2"/>
      <c r="T134" s="6">
        <v>0</v>
      </c>
      <c r="U134" s="2"/>
      <c r="V134" s="7">
        <f t="shared" si="26"/>
        <v>0</v>
      </c>
      <c r="W134" s="2"/>
      <c r="X134" s="6">
        <f t="shared" si="27"/>
        <v>0</v>
      </c>
      <c r="Y134" s="2"/>
      <c r="Z134" s="7">
        <f t="shared" si="28"/>
        <v>0</v>
      </c>
    </row>
    <row r="135" spans="1:26" s="24" customFormat="1" hidden="1" outlineLevel="2" x14ac:dyDescent="0.25">
      <c r="A135" s="27"/>
      <c r="B135" s="11" t="str">
        <f>CONCATENATE("          ", "6004", " - ", "STAFF HOURLY")</f>
        <v xml:space="preserve">          6004 - STAFF HOURLY</v>
      </c>
      <c r="C135" s="11"/>
      <c r="D135" s="6">
        <v>17687.32</v>
      </c>
      <c r="E135" s="2"/>
      <c r="F135" s="7">
        <f t="shared" si="21"/>
        <v>8.4678555948951555E-3</v>
      </c>
      <c r="G135" s="2"/>
      <c r="H135" s="6">
        <v>27891.17008</v>
      </c>
      <c r="I135" s="2"/>
      <c r="J135" s="7">
        <f t="shared" si="22"/>
        <v>1.1407660145336247E-2</v>
      </c>
      <c r="K135" s="2"/>
      <c r="L135" s="6">
        <f t="shared" si="23"/>
        <v>-10203.85008</v>
      </c>
      <c r="M135" s="2"/>
      <c r="N135" s="7">
        <f t="shared" si="24"/>
        <v>-0.36584517790872112</v>
      </c>
      <c r="O135" s="11"/>
      <c r="P135" s="6">
        <v>36424.590000000004</v>
      </c>
      <c r="Q135" s="2"/>
      <c r="R135" s="7">
        <f t="shared" si="25"/>
        <v>1.4429040024666506E-2</v>
      </c>
      <c r="S135" s="2"/>
      <c r="T135" s="6">
        <v>61779.757680000002</v>
      </c>
      <c r="U135" s="2"/>
      <c r="V135" s="7">
        <f t="shared" si="26"/>
        <v>2.0056760947015272E-2</v>
      </c>
      <c r="W135" s="2"/>
      <c r="X135" s="6">
        <f t="shared" si="27"/>
        <v>-25355.167679999999</v>
      </c>
      <c r="Y135" s="2"/>
      <c r="Z135" s="7">
        <f t="shared" si="28"/>
        <v>-0.41041222290530677</v>
      </c>
    </row>
    <row r="136" spans="1:26" s="24" customFormat="1" hidden="1" outlineLevel="2" x14ac:dyDescent="0.25">
      <c r="A136" s="27"/>
      <c r="B136" s="11" t="str">
        <f>CONCATENATE("          ", "6005", " - ", "TEMPORARY WAGES-HOURLY")</f>
        <v xml:space="preserve">          6005 - TEMPORARY WAGES-HOURLY</v>
      </c>
      <c r="C136" s="11"/>
      <c r="D136" s="6">
        <v>22505.489999999998</v>
      </c>
      <c r="E136" s="2"/>
      <c r="F136" s="7">
        <f t="shared" si="21"/>
        <v>1.0774568414681079E-2</v>
      </c>
      <c r="G136" s="2"/>
      <c r="H136" s="6">
        <v>3619.5</v>
      </c>
      <c r="I136" s="2"/>
      <c r="J136" s="7">
        <f t="shared" si="22"/>
        <v>1.4803977666628084E-3</v>
      </c>
      <c r="K136" s="2"/>
      <c r="L136" s="6">
        <f t="shared" si="23"/>
        <v>18885.989999999998</v>
      </c>
      <c r="M136" s="2"/>
      <c r="N136" s="7">
        <f t="shared" si="24"/>
        <v>5.2178450062163275</v>
      </c>
      <c r="O136" s="11"/>
      <c r="P136" s="6">
        <v>34891.040000000001</v>
      </c>
      <c r="Q136" s="2"/>
      <c r="R136" s="7">
        <f t="shared" si="25"/>
        <v>1.3821547824209964E-2</v>
      </c>
      <c r="S136" s="2"/>
      <c r="T136" s="6">
        <v>7296</v>
      </c>
      <c r="U136" s="2"/>
      <c r="V136" s="7">
        <f t="shared" si="26"/>
        <v>2.368641985088204E-3</v>
      </c>
      <c r="W136" s="2"/>
      <c r="X136" s="6">
        <f t="shared" si="27"/>
        <v>27595.040000000001</v>
      </c>
      <c r="Y136" s="2"/>
      <c r="Z136" s="7">
        <f t="shared" si="28"/>
        <v>3.7822149122807018</v>
      </c>
    </row>
    <row r="137" spans="1:26" s="24" customFormat="1" hidden="1" outlineLevel="2" x14ac:dyDescent="0.25">
      <c r="A137" s="27"/>
      <c r="B137" s="11" t="str">
        <f>CONCATENATE("          ", "6006", " - ", "TEMPORARY PART TIME")</f>
        <v xml:space="preserve">          6006 - TEMPORARY PART TIME</v>
      </c>
      <c r="C137" s="11"/>
      <c r="D137" s="6">
        <v>1927.34</v>
      </c>
      <c r="E137" s="2"/>
      <c r="F137" s="7">
        <f t="shared" si="21"/>
        <v>9.2271959812256625E-4</v>
      </c>
      <c r="G137" s="2"/>
      <c r="H137" s="6">
        <v>0</v>
      </c>
      <c r="I137" s="2"/>
      <c r="J137" s="7">
        <f t="shared" si="22"/>
        <v>0</v>
      </c>
      <c r="K137" s="2"/>
      <c r="L137" s="6">
        <f t="shared" si="23"/>
        <v>1927.34</v>
      </c>
      <c r="M137" s="2"/>
      <c r="N137" s="7">
        <f t="shared" si="24"/>
        <v>0</v>
      </c>
      <c r="O137" s="11"/>
      <c r="P137" s="6">
        <v>3975.55</v>
      </c>
      <c r="Q137" s="2"/>
      <c r="R137" s="7">
        <f t="shared" si="25"/>
        <v>1.5748528691760957E-3</v>
      </c>
      <c r="S137" s="2"/>
      <c r="T137" s="6">
        <v>0</v>
      </c>
      <c r="U137" s="2"/>
      <c r="V137" s="7">
        <f t="shared" si="26"/>
        <v>0</v>
      </c>
      <c r="W137" s="2"/>
      <c r="X137" s="6">
        <f t="shared" si="27"/>
        <v>3975.55</v>
      </c>
      <c r="Y137" s="2"/>
      <c r="Z137" s="7">
        <f t="shared" si="28"/>
        <v>0</v>
      </c>
    </row>
    <row r="138" spans="1:26" s="24" customFormat="1" hidden="1" outlineLevel="2" x14ac:dyDescent="0.25">
      <c r="A138" s="27"/>
      <c r="B138" s="11" t="str">
        <f>CONCATENATE("          ", "6007", " - ", "STUDENT HOURLY")</f>
        <v xml:space="preserve">          6007 - STUDENT HOURLY</v>
      </c>
      <c r="C138" s="11"/>
      <c r="D138" s="6">
        <v>66353.929999999993</v>
      </c>
      <c r="E138" s="2"/>
      <c r="F138" s="7">
        <f t="shared" si="21"/>
        <v>3.1767135857426756E-2</v>
      </c>
      <c r="G138" s="2"/>
      <c r="H138" s="6">
        <v>76731.820000000007</v>
      </c>
      <c r="I138" s="2"/>
      <c r="J138" s="7">
        <f t="shared" si="22"/>
        <v>3.1383786423531602E-2</v>
      </c>
      <c r="K138" s="2"/>
      <c r="L138" s="6">
        <f t="shared" si="23"/>
        <v>-10377.890000000014</v>
      </c>
      <c r="M138" s="2"/>
      <c r="N138" s="7">
        <f t="shared" si="24"/>
        <v>-0.13524884461231354</v>
      </c>
      <c r="O138" s="11"/>
      <c r="P138" s="6">
        <v>88490.96</v>
      </c>
      <c r="Q138" s="2"/>
      <c r="R138" s="7">
        <f t="shared" si="25"/>
        <v>3.5054330156116038E-2</v>
      </c>
      <c r="S138" s="2"/>
      <c r="T138" s="6">
        <v>142161.47999999998</v>
      </c>
      <c r="U138" s="2"/>
      <c r="V138" s="7">
        <f t="shared" si="26"/>
        <v>4.6152638458097174E-2</v>
      </c>
      <c r="W138" s="2"/>
      <c r="X138" s="6">
        <f t="shared" si="27"/>
        <v>-53670.519999999975</v>
      </c>
      <c r="Y138" s="2"/>
      <c r="Z138" s="7">
        <f t="shared" si="28"/>
        <v>-0.37753208534407479</v>
      </c>
    </row>
    <row r="139" spans="1:26" s="24" customFormat="1" hidden="1" outlineLevel="2" x14ac:dyDescent="0.25">
      <c r="A139" s="27"/>
      <c r="B139" s="11" t="str">
        <f>CONCATENATE("          ", "6008", " - ", "STUDENT HOURLY-FICA EXEMPT")</f>
        <v xml:space="preserve">          6008 - STUDENT HOURLY-FICA EXEMPT</v>
      </c>
      <c r="C139" s="11"/>
      <c r="D139" s="6">
        <v>433.03</v>
      </c>
      <c r="E139" s="2"/>
      <c r="F139" s="7">
        <f t="shared" si="21"/>
        <v>2.0731436465543955E-4</v>
      </c>
      <c r="G139" s="2"/>
      <c r="H139" s="6">
        <v>43838.09</v>
      </c>
      <c r="I139" s="2"/>
      <c r="J139" s="7">
        <f t="shared" si="22"/>
        <v>1.7930048495859423E-2</v>
      </c>
      <c r="K139" s="2"/>
      <c r="L139" s="6">
        <f t="shared" si="23"/>
        <v>-43405.06</v>
      </c>
      <c r="M139" s="2"/>
      <c r="N139" s="7">
        <f t="shared" si="24"/>
        <v>-0.99012206051860385</v>
      </c>
      <c r="O139" s="11"/>
      <c r="P139" s="6">
        <v>433.03</v>
      </c>
      <c r="Q139" s="2"/>
      <c r="R139" s="7">
        <f t="shared" si="25"/>
        <v>1.7153816149698147E-4</v>
      </c>
      <c r="S139" s="2"/>
      <c r="T139" s="6">
        <v>48856.84</v>
      </c>
      <c r="U139" s="2"/>
      <c r="V139" s="7">
        <f t="shared" si="26"/>
        <v>1.5861343542041773E-2</v>
      </c>
      <c r="W139" s="2"/>
      <c r="X139" s="6">
        <f t="shared" si="27"/>
        <v>-48423.81</v>
      </c>
      <c r="Y139" s="2"/>
      <c r="Z139" s="7">
        <f t="shared" si="28"/>
        <v>-0.99113675792376255</v>
      </c>
    </row>
    <row r="140" spans="1:26" s="24" customFormat="1" hidden="1" outlineLevel="2" x14ac:dyDescent="0.25">
      <c r="A140" s="27"/>
      <c r="B140" s="11" t="str">
        <f>CONCATENATE("          ", "6009", " - ", "TEMPORARY-SEASONAL")</f>
        <v xml:space="preserve">          6009 - TEMPORARY-SEASONAL</v>
      </c>
      <c r="C140" s="11"/>
      <c r="D140" s="6"/>
      <c r="E140" s="2"/>
      <c r="F140" s="7">
        <f t="shared" si="21"/>
        <v>0</v>
      </c>
      <c r="G140" s="2"/>
      <c r="H140" s="6">
        <v>0</v>
      </c>
      <c r="I140" s="2"/>
      <c r="J140" s="7">
        <f t="shared" si="22"/>
        <v>0</v>
      </c>
      <c r="K140" s="2"/>
      <c r="L140" s="6">
        <f t="shared" si="23"/>
        <v>0</v>
      </c>
      <c r="M140" s="2"/>
      <c r="N140" s="7">
        <f t="shared" si="24"/>
        <v>0</v>
      </c>
      <c r="O140" s="11"/>
      <c r="P140" s="6"/>
      <c r="Q140" s="2"/>
      <c r="R140" s="7">
        <f t="shared" si="25"/>
        <v>0</v>
      </c>
      <c r="S140" s="2"/>
      <c r="T140" s="6">
        <v>0</v>
      </c>
      <c r="U140" s="2"/>
      <c r="V140" s="7">
        <f t="shared" si="26"/>
        <v>0</v>
      </c>
      <c r="W140" s="2"/>
      <c r="X140" s="6">
        <f t="shared" si="27"/>
        <v>0</v>
      </c>
      <c r="Y140" s="2"/>
      <c r="Z140" s="7">
        <f t="shared" si="28"/>
        <v>0</v>
      </c>
    </row>
    <row r="141" spans="1:26" s="24" customFormat="1" hidden="1" outlineLevel="2" x14ac:dyDescent="0.25">
      <c r="A141" s="27"/>
      <c r="B141" s="11" t="str">
        <f>CONCATENATE("          ", "6010", " - ", "GRATUITY")</f>
        <v xml:space="preserve">          6010 - GRATUITY</v>
      </c>
      <c r="C141" s="11"/>
      <c r="D141" s="6"/>
      <c r="E141" s="2"/>
      <c r="F141" s="7">
        <f t="shared" si="21"/>
        <v>0</v>
      </c>
      <c r="G141" s="2"/>
      <c r="H141" s="6">
        <v>0</v>
      </c>
      <c r="I141" s="2"/>
      <c r="J141" s="7">
        <f t="shared" si="22"/>
        <v>0</v>
      </c>
      <c r="K141" s="2"/>
      <c r="L141" s="6">
        <f t="shared" si="23"/>
        <v>0</v>
      </c>
      <c r="M141" s="2"/>
      <c r="N141" s="7">
        <f t="shared" si="24"/>
        <v>0</v>
      </c>
      <c r="O141" s="11"/>
      <c r="P141" s="6"/>
      <c r="Q141" s="2"/>
      <c r="R141" s="7">
        <f t="shared" si="25"/>
        <v>0</v>
      </c>
      <c r="S141" s="2"/>
      <c r="T141" s="6">
        <v>0</v>
      </c>
      <c r="U141" s="2"/>
      <c r="V141" s="7">
        <f t="shared" si="26"/>
        <v>0</v>
      </c>
      <c r="W141" s="2"/>
      <c r="X141" s="6">
        <f t="shared" si="27"/>
        <v>0</v>
      </c>
      <c r="Y141" s="2"/>
      <c r="Z141" s="7">
        <f t="shared" si="28"/>
        <v>0</v>
      </c>
    </row>
    <row r="142" spans="1:26" s="29" customFormat="1" outlineLevel="1" collapsed="1" x14ac:dyDescent="0.25">
      <c r="A142" s="28"/>
      <c r="B142" s="14" t="str">
        <f>CONCATENATE("     ","Advertising/Promo                                 ")</f>
        <v xml:space="preserve">     Advertising/Promo                                 </v>
      </c>
      <c r="C142" s="14"/>
      <c r="D142" s="1">
        <f>SUM(OSRRefD22_2x_0)</f>
        <v>9510.6</v>
      </c>
      <c r="E142" s="1"/>
      <c r="F142" s="5">
        <f t="shared" ref="F142:F146" si="29">IF(D$12=0,0,D142/D$12)</f>
        <v>4.5532272509803563E-3</v>
      </c>
      <c r="G142" s="1"/>
      <c r="H142" s="1">
        <f>SUM(OSRRefH22_2x_0)</f>
        <v>1780</v>
      </c>
      <c r="I142" s="1"/>
      <c r="J142" s="5">
        <f t="shared" ref="J142:J146" si="30">IF(H$12=0,0,H142/H$12)</f>
        <v>7.2803095031352368E-4</v>
      </c>
      <c r="K142" s="1"/>
      <c r="L142" s="1">
        <f t="shared" ref="L142:L146" si="31">+D142-H142</f>
        <v>7730.6</v>
      </c>
      <c r="M142" s="1"/>
      <c r="N142" s="5">
        <f t="shared" ref="N142:N146" si="32">IF(H142=0,0,L142/H142)</f>
        <v>4.3430337078651684</v>
      </c>
      <c r="O142" s="14"/>
      <c r="P142" s="1">
        <f>SUM(OSRRefP22_2x_0)</f>
        <v>12251.08</v>
      </c>
      <c r="Q142" s="1"/>
      <c r="R142" s="5">
        <f t="shared" ref="R142:R146" si="33">IF(P$12=0,0,P142/P$12)</f>
        <v>4.8530765525539562E-3</v>
      </c>
      <c r="S142" s="1"/>
      <c r="T142" s="1">
        <f>SUM(OSRRefT22_2x_0)</f>
        <v>2760</v>
      </c>
      <c r="U142" s="1"/>
      <c r="V142" s="5">
        <f t="shared" ref="V142:V146" si="34">IF(T$12=0,0,T142/T$12)</f>
        <v>8.9603232988534035E-4</v>
      </c>
      <c r="W142" s="1"/>
      <c r="X142" s="1">
        <f t="shared" ref="X142:X146" si="35">+P142-T142</f>
        <v>9491.08</v>
      </c>
      <c r="Y142" s="1"/>
      <c r="Z142" s="5">
        <f t="shared" ref="Z142:Z146" si="36">IF(T142=0,0,X142/T142)</f>
        <v>3.4387971014492753</v>
      </c>
    </row>
    <row r="143" spans="1:26" s="24" customFormat="1" hidden="1" outlineLevel="2" x14ac:dyDescent="0.25">
      <c r="A143" s="27"/>
      <c r="B143" s="11" t="str">
        <f>CONCATENATE("          ", "6362", " - ", "ADVERTISING EXPENSE")</f>
        <v xml:space="preserve">          6362 - ADVERTISING EXPENSE</v>
      </c>
      <c r="C143" s="11"/>
      <c r="D143" s="6">
        <v>9510.6</v>
      </c>
      <c r="E143" s="2"/>
      <c r="F143" s="7">
        <f t="shared" si="29"/>
        <v>4.5532272509803563E-3</v>
      </c>
      <c r="G143" s="2"/>
      <c r="H143" s="6">
        <v>1780</v>
      </c>
      <c r="I143" s="2"/>
      <c r="J143" s="7">
        <f t="shared" si="30"/>
        <v>7.2803095031352368E-4</v>
      </c>
      <c r="K143" s="2"/>
      <c r="L143" s="6">
        <f t="shared" si="31"/>
        <v>7730.6</v>
      </c>
      <c r="M143" s="2"/>
      <c r="N143" s="7">
        <f t="shared" si="32"/>
        <v>4.3430337078651684</v>
      </c>
      <c r="O143" s="11"/>
      <c r="P143" s="6">
        <v>12251.08</v>
      </c>
      <c r="Q143" s="2"/>
      <c r="R143" s="7">
        <f t="shared" si="33"/>
        <v>4.8530765525539562E-3</v>
      </c>
      <c r="S143" s="2"/>
      <c r="T143" s="6">
        <v>2760</v>
      </c>
      <c r="U143" s="2"/>
      <c r="V143" s="7">
        <f t="shared" si="34"/>
        <v>8.9603232988534035E-4</v>
      </c>
      <c r="W143" s="2"/>
      <c r="X143" s="6">
        <f t="shared" si="35"/>
        <v>9491.08</v>
      </c>
      <c r="Y143" s="2"/>
      <c r="Z143" s="7">
        <f t="shared" si="36"/>
        <v>3.4387971014492753</v>
      </c>
    </row>
    <row r="144" spans="1:26" s="29" customFormat="1" outlineLevel="1" collapsed="1" x14ac:dyDescent="0.25">
      <c r="A144" s="28"/>
      <c r="B144" s="14" t="str">
        <f>CONCATENATE("     ","Bad Debts/Over/Short                              ")</f>
        <v xml:space="preserve">     Bad Debts/Over/Short                              </v>
      </c>
      <c r="C144" s="14"/>
      <c r="D144" s="1">
        <f>SUM(OSRRefD22_3x_0)</f>
        <v>66.81</v>
      </c>
      <c r="E144" s="1"/>
      <c r="F144" s="5">
        <f t="shared" si="29"/>
        <v>3.1985480688704979E-5</v>
      </c>
      <c r="G144" s="1"/>
      <c r="H144" s="1">
        <f>SUM(OSRRefH22_3x_0)</f>
        <v>110</v>
      </c>
      <c r="I144" s="1"/>
      <c r="J144" s="5">
        <f t="shared" si="30"/>
        <v>4.4990676704768319E-5</v>
      </c>
      <c r="K144" s="1"/>
      <c r="L144" s="1">
        <f t="shared" si="31"/>
        <v>-43.19</v>
      </c>
      <c r="M144" s="1"/>
      <c r="N144" s="5">
        <f t="shared" si="32"/>
        <v>-0.39263636363636362</v>
      </c>
      <c r="O144" s="14"/>
      <c r="P144" s="1">
        <f>SUM(OSRRefP22_3x_0)</f>
        <v>71.790000000000006</v>
      </c>
      <c r="Q144" s="1"/>
      <c r="R144" s="5">
        <f t="shared" si="33"/>
        <v>2.843850221432303E-5</v>
      </c>
      <c r="S144" s="1"/>
      <c r="T144" s="1">
        <f>SUM(OSRRefT22_3x_0)</f>
        <v>220</v>
      </c>
      <c r="U144" s="1"/>
      <c r="V144" s="5">
        <f t="shared" si="34"/>
        <v>7.1422866874918428E-5</v>
      </c>
      <c r="W144" s="1"/>
      <c r="X144" s="1">
        <f t="shared" si="35"/>
        <v>-148.20999999999998</v>
      </c>
      <c r="Y144" s="1"/>
      <c r="Z144" s="5">
        <f t="shared" si="36"/>
        <v>-0.67368181818181805</v>
      </c>
    </row>
    <row r="145" spans="1:26" s="24" customFormat="1" hidden="1" outlineLevel="2" x14ac:dyDescent="0.25">
      <c r="A145" s="27"/>
      <c r="B145" s="11" t="str">
        <f>CONCATENATE("          ", "6272", " - ", "CASH (OVER/SHORT)")</f>
        <v xml:space="preserve">          6272 - CASH (OVER/SHORT)</v>
      </c>
      <c r="C145" s="11"/>
      <c r="D145" s="6">
        <v>66.81</v>
      </c>
      <c r="E145" s="2"/>
      <c r="F145" s="7">
        <f t="shared" si="29"/>
        <v>3.1985480688704979E-5</v>
      </c>
      <c r="G145" s="2"/>
      <c r="H145" s="6">
        <v>60</v>
      </c>
      <c r="I145" s="2"/>
      <c r="J145" s="7">
        <f t="shared" si="30"/>
        <v>2.4540369111691809E-5</v>
      </c>
      <c r="K145" s="2"/>
      <c r="L145" s="6">
        <f t="shared" si="31"/>
        <v>6.8100000000000023</v>
      </c>
      <c r="M145" s="2"/>
      <c r="N145" s="7">
        <f t="shared" si="32"/>
        <v>0.11350000000000003</v>
      </c>
      <c r="O145" s="11"/>
      <c r="P145" s="6">
        <v>71.790000000000006</v>
      </c>
      <c r="Q145" s="2"/>
      <c r="R145" s="7">
        <f t="shared" si="33"/>
        <v>2.843850221432303E-5</v>
      </c>
      <c r="S145" s="2"/>
      <c r="T145" s="6">
        <v>120</v>
      </c>
      <c r="U145" s="2"/>
      <c r="V145" s="7">
        <f t="shared" si="34"/>
        <v>3.8957927386319146E-5</v>
      </c>
      <c r="W145" s="2"/>
      <c r="X145" s="6">
        <f t="shared" si="35"/>
        <v>-48.209999999999994</v>
      </c>
      <c r="Y145" s="2"/>
      <c r="Z145" s="7">
        <f t="shared" si="36"/>
        <v>-0.40174999999999994</v>
      </c>
    </row>
    <row r="146" spans="1:26" s="24" customFormat="1" hidden="1" outlineLevel="2" x14ac:dyDescent="0.25">
      <c r="A146" s="27"/>
      <c r="B146" s="11" t="str">
        <f>CONCATENATE("          ", "6342", " - ", "BAD DEBT")</f>
        <v xml:space="preserve">          6342 - BAD DEBT</v>
      </c>
      <c r="C146" s="11"/>
      <c r="D146" s="6"/>
      <c r="E146" s="2"/>
      <c r="F146" s="7">
        <f t="shared" si="29"/>
        <v>0</v>
      </c>
      <c r="G146" s="2"/>
      <c r="H146" s="6">
        <v>50</v>
      </c>
      <c r="I146" s="2"/>
      <c r="J146" s="7">
        <f t="shared" si="30"/>
        <v>2.0450307593076507E-5</v>
      </c>
      <c r="K146" s="2"/>
      <c r="L146" s="6">
        <f t="shared" si="31"/>
        <v>-50</v>
      </c>
      <c r="M146" s="2"/>
      <c r="N146" s="7">
        <f t="shared" si="32"/>
        <v>-1</v>
      </c>
      <c r="O146" s="11"/>
      <c r="P146" s="6"/>
      <c r="Q146" s="2"/>
      <c r="R146" s="7">
        <f t="shared" si="33"/>
        <v>0</v>
      </c>
      <c r="S146" s="2"/>
      <c r="T146" s="6">
        <v>100</v>
      </c>
      <c r="U146" s="2"/>
      <c r="V146" s="7">
        <f t="shared" si="34"/>
        <v>3.2464939488599288E-5</v>
      </c>
      <c r="W146" s="2"/>
      <c r="X146" s="6">
        <f t="shared" si="35"/>
        <v>-100</v>
      </c>
      <c r="Y146" s="2"/>
      <c r="Z146" s="7">
        <f t="shared" si="36"/>
        <v>-1</v>
      </c>
    </row>
    <row r="147" spans="1:26" s="29" customFormat="1" outlineLevel="1" collapsed="1" x14ac:dyDescent="0.25">
      <c r="A147" s="28"/>
      <c r="B147" s="14" t="str">
        <f>CONCATENATE("     ","Bank/card Fees                                    ")</f>
        <v xml:space="preserve">     Bank/card Fees                                    </v>
      </c>
      <c r="C147" s="14"/>
      <c r="D147" s="1">
        <f>SUM(OSRRefD22_4x_0)</f>
        <v>22080.34</v>
      </c>
      <c r="E147" s="1"/>
      <c r="F147" s="5">
        <f t="shared" ref="F147:F151" si="37">IF(D$12=0,0,D147/D$12)</f>
        <v>1.0571026622811557E-2</v>
      </c>
      <c r="G147" s="1"/>
      <c r="H147" s="1">
        <f>SUM(OSRRefH22_4x_0)</f>
        <v>33786</v>
      </c>
      <c r="I147" s="1"/>
      <c r="J147" s="5">
        <f t="shared" ref="J147:J151" si="38">IF(H$12=0,0,H147/H$12)</f>
        <v>1.3818681846793657E-2</v>
      </c>
      <c r="K147" s="1"/>
      <c r="L147" s="1">
        <f t="shared" ref="L147:L151" si="39">+D147-H147</f>
        <v>-11705.66</v>
      </c>
      <c r="M147" s="1"/>
      <c r="N147" s="5">
        <f t="shared" ref="N147:N151" si="40">IF(H147=0,0,L147/H147)</f>
        <v>-0.34646480790860118</v>
      </c>
      <c r="O147" s="14"/>
      <c r="P147" s="1">
        <f>SUM(OSRRefP22_4x_0)</f>
        <v>25197.550000000003</v>
      </c>
      <c r="Q147" s="1"/>
      <c r="R147" s="5">
        <f t="shared" ref="R147:R151" si="41">IF(P$12=0,0,P147/P$12)</f>
        <v>9.9816211376308021E-3</v>
      </c>
      <c r="S147" s="1"/>
      <c r="T147" s="1">
        <f>SUM(OSRRefT22_4x_0)</f>
        <v>38386</v>
      </c>
      <c r="U147" s="1"/>
      <c r="V147" s="5">
        <f t="shared" ref="V147:V151" si="42">IF(T$12=0,0,T147/T$12)</f>
        <v>1.2461991672093723E-2</v>
      </c>
      <c r="W147" s="1"/>
      <c r="X147" s="1">
        <f t="shared" ref="X147:X151" si="43">+P147-T147</f>
        <v>-13188.449999999997</v>
      </c>
      <c r="Y147" s="1"/>
      <c r="Z147" s="5">
        <f t="shared" ref="Z147:Z151" si="44">IF(T147=0,0,X147/T147)</f>
        <v>-0.3435744802792684</v>
      </c>
    </row>
    <row r="148" spans="1:26" s="24" customFormat="1" hidden="1" outlineLevel="2" x14ac:dyDescent="0.25">
      <c r="A148" s="27"/>
      <c r="B148" s="11" t="str">
        <f>CONCATENATE("          ", "6381", " - ", "BANK/CREDIT CARD FEES")</f>
        <v xml:space="preserve">          6381 - BANK/CREDIT CARD FEES</v>
      </c>
      <c r="C148" s="11"/>
      <c r="D148" s="6">
        <v>22080.34</v>
      </c>
      <c r="E148" s="2"/>
      <c r="F148" s="7">
        <f t="shared" si="37"/>
        <v>1.0571026622811557E-2</v>
      </c>
      <c r="G148" s="2"/>
      <c r="H148" s="6">
        <v>33786</v>
      </c>
      <c r="I148" s="2"/>
      <c r="J148" s="7">
        <f t="shared" si="38"/>
        <v>1.3818681846793657E-2</v>
      </c>
      <c r="K148" s="2"/>
      <c r="L148" s="6">
        <f t="shared" si="39"/>
        <v>-11705.66</v>
      </c>
      <c r="M148" s="2"/>
      <c r="N148" s="7">
        <f t="shared" si="40"/>
        <v>-0.34646480790860118</v>
      </c>
      <c r="O148" s="11"/>
      <c r="P148" s="6">
        <v>25197.550000000003</v>
      </c>
      <c r="Q148" s="2"/>
      <c r="R148" s="7">
        <f t="shared" si="41"/>
        <v>9.9816211376308021E-3</v>
      </c>
      <c r="S148" s="2"/>
      <c r="T148" s="6">
        <v>38386</v>
      </c>
      <c r="U148" s="2"/>
      <c r="V148" s="7">
        <f t="shared" si="42"/>
        <v>1.2461991672093723E-2</v>
      </c>
      <c r="W148" s="2"/>
      <c r="X148" s="6">
        <f t="shared" si="43"/>
        <v>-13188.449999999997</v>
      </c>
      <c r="Y148" s="2"/>
      <c r="Z148" s="7">
        <f t="shared" si="44"/>
        <v>-0.3435744802792684</v>
      </c>
    </row>
    <row r="149" spans="1:26" s="29" customFormat="1" outlineLevel="1" collapsed="1" x14ac:dyDescent="0.25">
      <c r="A149" s="28"/>
      <c r="B149" s="14" t="str">
        <f>CONCATENATE("     ","Depreciation                                      ")</f>
        <v xml:space="preserve">     Depreciation                                      </v>
      </c>
      <c r="C149" s="14"/>
      <c r="D149" s="1">
        <f>SUM(OSRRefD22_5x_0)</f>
        <v>31369.769999999997</v>
      </c>
      <c r="E149" s="1"/>
      <c r="F149" s="5">
        <f t="shared" si="37"/>
        <v>1.5018368096753731E-2</v>
      </c>
      <c r="G149" s="1"/>
      <c r="H149" s="1">
        <f>SUM(OSRRefH22_5x_0)</f>
        <v>30930</v>
      </c>
      <c r="I149" s="1"/>
      <c r="J149" s="5">
        <f t="shared" si="38"/>
        <v>1.2650560277077127E-2</v>
      </c>
      <c r="K149" s="1"/>
      <c r="L149" s="1">
        <f t="shared" si="39"/>
        <v>439.7699999999968</v>
      </c>
      <c r="M149" s="1"/>
      <c r="N149" s="5">
        <f t="shared" si="40"/>
        <v>1.4218234723569246E-2</v>
      </c>
      <c r="O149" s="14"/>
      <c r="P149" s="1">
        <f>SUM(OSRRefP22_5x_0)</f>
        <v>61997.070000000007</v>
      </c>
      <c r="Q149" s="1"/>
      <c r="R149" s="5">
        <f t="shared" si="41"/>
        <v>2.4559183904116728E-2</v>
      </c>
      <c r="S149" s="1"/>
      <c r="T149" s="1">
        <f>SUM(OSRRefT22_5x_0)</f>
        <v>61860</v>
      </c>
      <c r="U149" s="1"/>
      <c r="V149" s="5">
        <f t="shared" si="42"/>
        <v>2.0082811567647518E-2</v>
      </c>
      <c r="W149" s="1"/>
      <c r="X149" s="1">
        <f t="shared" si="43"/>
        <v>137.07000000000698</v>
      </c>
      <c r="Y149" s="1"/>
      <c r="Z149" s="5">
        <f t="shared" si="44"/>
        <v>2.2158098933075816E-3</v>
      </c>
    </row>
    <row r="150" spans="1:26" s="24" customFormat="1" hidden="1" outlineLevel="2" x14ac:dyDescent="0.25">
      <c r="A150" s="27"/>
      <c r="B150" s="11" t="str">
        <f>CONCATENATE("          ", "6321", " - ", "BUILDING DEPRECIATION")</f>
        <v xml:space="preserve">          6321 - BUILDING DEPRECIATION</v>
      </c>
      <c r="C150" s="11"/>
      <c r="D150" s="6">
        <v>16396.52</v>
      </c>
      <c r="E150" s="2"/>
      <c r="F150" s="7">
        <f t="shared" si="37"/>
        <v>7.8498813624003141E-3</v>
      </c>
      <c r="G150" s="2"/>
      <c r="H150" s="6"/>
      <c r="I150" s="2"/>
      <c r="J150" s="7">
        <f t="shared" si="38"/>
        <v>0</v>
      </c>
      <c r="K150" s="2"/>
      <c r="L150" s="6">
        <f t="shared" si="39"/>
        <v>16396.52</v>
      </c>
      <c r="M150" s="2"/>
      <c r="N150" s="7">
        <f t="shared" si="40"/>
        <v>0</v>
      </c>
      <c r="O150" s="11"/>
      <c r="P150" s="6">
        <v>32793.040000000001</v>
      </c>
      <c r="Q150" s="2"/>
      <c r="R150" s="7">
        <f t="shared" si="41"/>
        <v>1.2990457454441894E-2</v>
      </c>
      <c r="S150" s="2"/>
      <c r="T150" s="6"/>
      <c r="U150" s="2"/>
      <c r="V150" s="7">
        <f t="shared" si="42"/>
        <v>0</v>
      </c>
      <c r="W150" s="2"/>
      <c r="X150" s="6">
        <f t="shared" si="43"/>
        <v>32793.040000000001</v>
      </c>
      <c r="Y150" s="2"/>
      <c r="Z150" s="7">
        <f t="shared" si="44"/>
        <v>0</v>
      </c>
    </row>
    <row r="151" spans="1:26" s="24" customFormat="1" hidden="1" outlineLevel="2" x14ac:dyDescent="0.25">
      <c r="A151" s="27"/>
      <c r="B151" s="11" t="str">
        <f>CONCATENATE("          ", "6322", " - ", "EQUIPMENT DEPRECIATION EXPENSE")</f>
        <v xml:space="preserve">          6322 - EQUIPMENT DEPRECIATION EXPENSE</v>
      </c>
      <c r="C151" s="11"/>
      <c r="D151" s="6">
        <v>14973.249999999998</v>
      </c>
      <c r="E151" s="2"/>
      <c r="F151" s="7">
        <f t="shared" si="37"/>
        <v>7.1684867343534166E-3</v>
      </c>
      <c r="G151" s="2"/>
      <c r="H151" s="6">
        <v>30930</v>
      </c>
      <c r="I151" s="2"/>
      <c r="J151" s="7">
        <f t="shared" si="38"/>
        <v>1.2650560277077127E-2</v>
      </c>
      <c r="K151" s="2"/>
      <c r="L151" s="6">
        <f t="shared" si="39"/>
        <v>-15956.750000000002</v>
      </c>
      <c r="M151" s="2"/>
      <c r="N151" s="7">
        <f t="shared" si="40"/>
        <v>-0.5158988037504042</v>
      </c>
      <c r="O151" s="11"/>
      <c r="P151" s="6">
        <v>29204.030000000002</v>
      </c>
      <c r="Q151" s="2"/>
      <c r="R151" s="7">
        <f t="shared" si="41"/>
        <v>1.1568726449674832E-2</v>
      </c>
      <c r="S151" s="2"/>
      <c r="T151" s="6">
        <v>61860</v>
      </c>
      <c r="U151" s="2"/>
      <c r="V151" s="7">
        <f t="shared" si="42"/>
        <v>2.0082811567647518E-2</v>
      </c>
      <c r="W151" s="2"/>
      <c r="X151" s="6">
        <f t="shared" si="43"/>
        <v>-32655.969999999998</v>
      </c>
      <c r="Y151" s="2"/>
      <c r="Z151" s="7">
        <f t="shared" si="44"/>
        <v>-0.52790122858066602</v>
      </c>
    </row>
    <row r="152" spans="1:26" s="29" customFormat="1" outlineLevel="1" collapsed="1" x14ac:dyDescent="0.25">
      <c r="A152" s="28"/>
      <c r="B152" s="14" t="str">
        <f>CONCATENATE("     ","Discounts and Markdowns                           ")</f>
        <v xml:space="preserve">     Discounts and Markdowns                           </v>
      </c>
      <c r="C152" s="14"/>
      <c r="D152" s="1">
        <f>SUM(OSRRefD22_6x_0)</f>
        <v>0</v>
      </c>
      <c r="E152" s="1"/>
      <c r="F152" s="5">
        <f t="shared" ref="F152:F156" si="45">IF(D$12=0,0,D152/D$12)</f>
        <v>0</v>
      </c>
      <c r="G152" s="1"/>
      <c r="H152" s="1">
        <f>SUM(OSRRefH22_6x_0)</f>
        <v>41128</v>
      </c>
      <c r="I152" s="1"/>
      <c r="J152" s="5">
        <f t="shared" ref="J152:J156" si="46">IF(H$12=0,0,H152/H$12)</f>
        <v>1.6821605013761013E-2</v>
      </c>
      <c r="K152" s="1"/>
      <c r="L152" s="1">
        <f t="shared" ref="L152:L156" si="47">+D152-H152</f>
        <v>-41128</v>
      </c>
      <c r="M152" s="1"/>
      <c r="N152" s="5">
        <f t="shared" ref="N152:N156" si="48">IF(H152=0,0,L152/H152)</f>
        <v>-1</v>
      </c>
      <c r="O152" s="14"/>
      <c r="P152" s="1">
        <f>SUM(OSRRefP22_6x_0)</f>
        <v>0</v>
      </c>
      <c r="Q152" s="1"/>
      <c r="R152" s="5">
        <f t="shared" ref="R152:R156" si="49">IF(P$12=0,0,P152/P$12)</f>
        <v>0</v>
      </c>
      <c r="S152" s="1"/>
      <c r="T152" s="1">
        <f>SUM(OSRRefT22_6x_0)</f>
        <v>65948</v>
      </c>
      <c r="U152" s="1"/>
      <c r="V152" s="5">
        <f t="shared" ref="V152:V156" si="50">IF(T$12=0,0,T152/T$12)</f>
        <v>2.1409978293941458E-2</v>
      </c>
      <c r="W152" s="1"/>
      <c r="X152" s="1">
        <f t="shared" ref="X152:X156" si="51">+P152-T152</f>
        <v>-65948</v>
      </c>
      <c r="Y152" s="1"/>
      <c r="Z152" s="5">
        <f t="shared" ref="Z152:Z156" si="52">IF(T152=0,0,X152/T152)</f>
        <v>-1</v>
      </c>
    </row>
    <row r="153" spans="1:26" s="24" customFormat="1" hidden="1" outlineLevel="2" x14ac:dyDescent="0.25">
      <c r="A153" s="27"/>
      <c r="B153" s="11" t="str">
        <f>CONCATENATE("          ", "6382", " - ", "DISCOUNTS/MARK DOWNS")</f>
        <v xml:space="preserve">          6382 - DISCOUNTS/MARK DOWNS</v>
      </c>
      <c r="C153" s="11"/>
      <c r="D153" s="6"/>
      <c r="E153" s="2"/>
      <c r="F153" s="7">
        <f t="shared" si="45"/>
        <v>0</v>
      </c>
      <c r="G153" s="2"/>
      <c r="H153" s="6">
        <v>41128</v>
      </c>
      <c r="I153" s="2"/>
      <c r="J153" s="7">
        <f t="shared" si="46"/>
        <v>1.6821605013761013E-2</v>
      </c>
      <c r="K153" s="2"/>
      <c r="L153" s="6">
        <f t="shared" si="47"/>
        <v>-41128</v>
      </c>
      <c r="M153" s="2"/>
      <c r="N153" s="7">
        <f t="shared" si="48"/>
        <v>-1</v>
      </c>
      <c r="O153" s="11"/>
      <c r="P153" s="6"/>
      <c r="Q153" s="2"/>
      <c r="R153" s="7">
        <f t="shared" si="49"/>
        <v>0</v>
      </c>
      <c r="S153" s="2"/>
      <c r="T153" s="6">
        <v>65948</v>
      </c>
      <c r="U153" s="2"/>
      <c r="V153" s="7">
        <f t="shared" si="50"/>
        <v>2.1409978293941458E-2</v>
      </c>
      <c r="W153" s="2"/>
      <c r="X153" s="6">
        <f t="shared" si="51"/>
        <v>-65948</v>
      </c>
      <c r="Y153" s="2"/>
      <c r="Z153" s="7">
        <f t="shared" si="52"/>
        <v>-1</v>
      </c>
    </row>
    <row r="154" spans="1:26" s="29" customFormat="1" outlineLevel="1" collapsed="1" x14ac:dyDescent="0.25">
      <c r="A154" s="28"/>
      <c r="B154" s="14" t="str">
        <f>CONCATENATE("     ","Donations                                         ")</f>
        <v xml:space="preserve">     Donations                                         </v>
      </c>
      <c r="C154" s="14"/>
      <c r="D154" s="1">
        <f>SUM(OSRRefD22_7x_0)</f>
        <v>0</v>
      </c>
      <c r="E154" s="1"/>
      <c r="F154" s="5">
        <f t="shared" si="45"/>
        <v>0</v>
      </c>
      <c r="G154" s="1"/>
      <c r="H154" s="1">
        <f>SUM(OSRRefH22_7x_0)</f>
        <v>1000</v>
      </c>
      <c r="I154" s="1"/>
      <c r="J154" s="5">
        <f t="shared" si="46"/>
        <v>4.0900615186153014E-4</v>
      </c>
      <c r="K154" s="1"/>
      <c r="L154" s="1">
        <f t="shared" si="47"/>
        <v>-1000</v>
      </c>
      <c r="M154" s="1"/>
      <c r="N154" s="5">
        <f t="shared" si="48"/>
        <v>-1</v>
      </c>
      <c r="O154" s="14"/>
      <c r="P154" s="1">
        <f>SUM(OSRRefP22_7x_0)</f>
        <v>0</v>
      </c>
      <c r="Q154" s="1"/>
      <c r="R154" s="5">
        <f t="shared" si="49"/>
        <v>0</v>
      </c>
      <c r="S154" s="1"/>
      <c r="T154" s="1">
        <f>SUM(OSRRefT22_7x_0)</f>
        <v>2000</v>
      </c>
      <c r="U154" s="1"/>
      <c r="V154" s="5">
        <f t="shared" si="50"/>
        <v>6.4929878977198574E-4</v>
      </c>
      <c r="W154" s="1"/>
      <c r="X154" s="1">
        <f t="shared" si="51"/>
        <v>-2000</v>
      </c>
      <c r="Y154" s="1"/>
      <c r="Z154" s="5">
        <f t="shared" si="52"/>
        <v>-1</v>
      </c>
    </row>
    <row r="155" spans="1:26" s="24" customFormat="1" hidden="1" outlineLevel="2" x14ac:dyDescent="0.25">
      <c r="A155" s="27"/>
      <c r="B155" s="11" t="str">
        <f>CONCATENATE("          ", "6395", " - ", "DONATION-OFF CAMPUS")</f>
        <v xml:space="preserve">          6395 - DONATION-OFF CAMPUS</v>
      </c>
      <c r="C155" s="11"/>
      <c r="D155" s="6"/>
      <c r="E155" s="2"/>
      <c r="F155" s="7">
        <f t="shared" si="45"/>
        <v>0</v>
      </c>
      <c r="G155" s="2"/>
      <c r="H155" s="6"/>
      <c r="I155" s="2"/>
      <c r="J155" s="7">
        <f t="shared" si="46"/>
        <v>0</v>
      </c>
      <c r="K155" s="2"/>
      <c r="L155" s="6">
        <f t="shared" si="47"/>
        <v>0</v>
      </c>
      <c r="M155" s="2"/>
      <c r="N155" s="7">
        <f t="shared" si="48"/>
        <v>0</v>
      </c>
      <c r="O155" s="11"/>
      <c r="P155" s="6"/>
      <c r="Q155" s="2"/>
      <c r="R155" s="7">
        <f t="shared" si="49"/>
        <v>0</v>
      </c>
      <c r="S155" s="2"/>
      <c r="T155" s="6">
        <v>0</v>
      </c>
      <c r="U155" s="2"/>
      <c r="V155" s="7">
        <f t="shared" si="50"/>
        <v>0</v>
      </c>
      <c r="W155" s="2"/>
      <c r="X155" s="6">
        <f t="shared" si="51"/>
        <v>0</v>
      </c>
      <c r="Y155" s="2"/>
      <c r="Z155" s="7">
        <f t="shared" si="52"/>
        <v>0</v>
      </c>
    </row>
    <row r="156" spans="1:26" s="24" customFormat="1" hidden="1" outlineLevel="2" x14ac:dyDescent="0.25">
      <c r="A156" s="27"/>
      <c r="B156" s="11" t="str">
        <f>CONCATENATE("          ", "6399", " - ", "DONATION-ON CAMPUS")</f>
        <v xml:space="preserve">          6399 - DONATION-ON CAMPUS</v>
      </c>
      <c r="C156" s="11"/>
      <c r="D156" s="6"/>
      <c r="E156" s="2"/>
      <c r="F156" s="7">
        <f t="shared" si="45"/>
        <v>0</v>
      </c>
      <c r="G156" s="2"/>
      <c r="H156" s="6">
        <v>1000</v>
      </c>
      <c r="I156" s="2"/>
      <c r="J156" s="7">
        <f t="shared" si="46"/>
        <v>4.0900615186153014E-4</v>
      </c>
      <c r="K156" s="2"/>
      <c r="L156" s="6">
        <f t="shared" si="47"/>
        <v>-1000</v>
      </c>
      <c r="M156" s="2"/>
      <c r="N156" s="7">
        <f t="shared" si="48"/>
        <v>-1</v>
      </c>
      <c r="O156" s="11"/>
      <c r="P156" s="6"/>
      <c r="Q156" s="2"/>
      <c r="R156" s="7">
        <f t="shared" si="49"/>
        <v>0</v>
      </c>
      <c r="S156" s="2"/>
      <c r="T156" s="6">
        <v>2000</v>
      </c>
      <c r="U156" s="2"/>
      <c r="V156" s="7">
        <f t="shared" si="50"/>
        <v>6.4929878977198574E-4</v>
      </c>
      <c r="W156" s="2"/>
      <c r="X156" s="6">
        <f t="shared" si="51"/>
        <v>-2000</v>
      </c>
      <c r="Y156" s="2"/>
      <c r="Z156" s="7">
        <f t="shared" si="52"/>
        <v>-1</v>
      </c>
    </row>
    <row r="157" spans="1:26" s="29" customFormat="1" outlineLevel="1" collapsed="1" x14ac:dyDescent="0.25">
      <c r="A157" s="28"/>
      <c r="B157" s="14" t="str">
        <f>CONCATENATE("     ","Employees' Appreciation                           ")</f>
        <v xml:space="preserve">     Employees' Appreciation                           </v>
      </c>
      <c r="C157" s="14"/>
      <c r="D157" s="1">
        <f>SUM(OSRRefD22_8x_0)</f>
        <v>0</v>
      </c>
      <c r="E157" s="1"/>
      <c r="F157" s="5">
        <f t="shared" ref="F157:F163" si="53">IF(D$12=0,0,D157/D$12)</f>
        <v>0</v>
      </c>
      <c r="G157" s="1"/>
      <c r="H157" s="1">
        <f>SUM(OSRRefH22_8x_0)</f>
        <v>445</v>
      </c>
      <c r="I157" s="1"/>
      <c r="J157" s="5">
        <f t="shared" ref="J157:J163" si="54">IF(H$12=0,0,H157/H$12)</f>
        <v>1.8200773757838092E-4</v>
      </c>
      <c r="K157" s="1"/>
      <c r="L157" s="1">
        <f t="shared" ref="L157:L163" si="55">+D157-H157</f>
        <v>-445</v>
      </c>
      <c r="M157" s="1"/>
      <c r="N157" s="5">
        <f t="shared" ref="N157:N163" si="56">IF(H157=0,0,L157/H157)</f>
        <v>-1</v>
      </c>
      <c r="O157" s="14"/>
      <c r="P157" s="1">
        <f>SUM(OSRRefP22_8x_0)</f>
        <v>107.7</v>
      </c>
      <c r="Q157" s="1"/>
      <c r="R157" s="5">
        <f t="shared" ref="R157:R163" si="57">IF(P$12=0,0,P157/P$12)</f>
        <v>4.2663695340334168E-5</v>
      </c>
      <c r="S157" s="1"/>
      <c r="T157" s="1">
        <f>SUM(OSRRefT22_8x_0)</f>
        <v>890</v>
      </c>
      <c r="U157" s="1"/>
      <c r="V157" s="5">
        <f t="shared" ref="V157:V163" si="58">IF(T$12=0,0,T157/T$12)</f>
        <v>2.8893796144853365E-4</v>
      </c>
      <c r="W157" s="1"/>
      <c r="X157" s="1">
        <f t="shared" ref="X157:X163" si="59">+P157-T157</f>
        <v>-782.3</v>
      </c>
      <c r="Y157" s="1"/>
      <c r="Z157" s="5">
        <f t="shared" ref="Z157:Z163" si="60">IF(T157=0,0,X157/T157)</f>
        <v>-0.87898876404494375</v>
      </c>
    </row>
    <row r="158" spans="1:26" s="24" customFormat="1" hidden="1" outlineLevel="2" x14ac:dyDescent="0.25">
      <c r="A158" s="27"/>
      <c r="B158" s="11" t="str">
        <f>CONCATENATE("          ", "6277", " - ", "EMPLOYEE APPRECIATION")</f>
        <v xml:space="preserve">          6277 - EMPLOYEE APPRECIATION</v>
      </c>
      <c r="C158" s="11"/>
      <c r="D158" s="6"/>
      <c r="E158" s="2"/>
      <c r="F158" s="7">
        <f t="shared" si="53"/>
        <v>0</v>
      </c>
      <c r="G158" s="2"/>
      <c r="H158" s="6">
        <v>445</v>
      </c>
      <c r="I158" s="2"/>
      <c r="J158" s="7">
        <f t="shared" si="54"/>
        <v>1.8200773757838092E-4</v>
      </c>
      <c r="K158" s="2"/>
      <c r="L158" s="6">
        <f t="shared" si="55"/>
        <v>-445</v>
      </c>
      <c r="M158" s="2"/>
      <c r="N158" s="7">
        <f t="shared" si="56"/>
        <v>-1</v>
      </c>
      <c r="O158" s="11"/>
      <c r="P158" s="6">
        <v>107.7</v>
      </c>
      <c r="Q158" s="2"/>
      <c r="R158" s="7">
        <f t="shared" si="57"/>
        <v>4.2663695340334168E-5</v>
      </c>
      <c r="S158" s="2"/>
      <c r="T158" s="6">
        <v>890</v>
      </c>
      <c r="U158" s="2"/>
      <c r="V158" s="7">
        <f t="shared" si="58"/>
        <v>2.8893796144853365E-4</v>
      </c>
      <c r="W158" s="2"/>
      <c r="X158" s="6">
        <f t="shared" si="59"/>
        <v>-782.3</v>
      </c>
      <c r="Y158" s="2"/>
      <c r="Z158" s="7">
        <f t="shared" si="60"/>
        <v>-0.87898876404494375</v>
      </c>
    </row>
    <row r="159" spans="1:26" s="29" customFormat="1" outlineLevel="1" collapsed="1" x14ac:dyDescent="0.25">
      <c r="A159" s="28"/>
      <c r="B159" s="14" t="str">
        <f>CONCATENATE("     ","Equipment Rental                                  ")</f>
        <v xml:space="preserve">     Equipment Rental                                  </v>
      </c>
      <c r="C159" s="14"/>
      <c r="D159" s="1">
        <f>SUM(OSRRefD22_9x_0)</f>
        <v>1388.16</v>
      </c>
      <c r="E159" s="1"/>
      <c r="F159" s="5">
        <f t="shared" si="53"/>
        <v>6.6458561402234261E-4</v>
      </c>
      <c r="G159" s="1"/>
      <c r="H159" s="1">
        <f>SUM(OSRRefH22_9x_0)</f>
        <v>3006</v>
      </c>
      <c r="I159" s="1"/>
      <c r="J159" s="5">
        <f t="shared" si="54"/>
        <v>1.2294724924957596E-3</v>
      </c>
      <c r="K159" s="1"/>
      <c r="L159" s="1">
        <f t="shared" si="55"/>
        <v>-1617.84</v>
      </c>
      <c r="M159" s="1"/>
      <c r="N159" s="5">
        <f t="shared" si="56"/>
        <v>-0.53820359281437125</v>
      </c>
      <c r="O159" s="14"/>
      <c r="P159" s="1">
        <f>SUM(OSRRefP22_9x_0)</f>
        <v>2776.32</v>
      </c>
      <c r="Q159" s="1"/>
      <c r="R159" s="5">
        <f t="shared" si="57"/>
        <v>1.0997963848400796E-3</v>
      </c>
      <c r="S159" s="1"/>
      <c r="T159" s="1">
        <f>SUM(OSRRefT22_9x_0)</f>
        <v>6012</v>
      </c>
      <c r="U159" s="1"/>
      <c r="V159" s="5">
        <f t="shared" si="58"/>
        <v>1.9517921620545891E-3</v>
      </c>
      <c r="W159" s="1"/>
      <c r="X159" s="1">
        <f t="shared" si="59"/>
        <v>-3235.68</v>
      </c>
      <c r="Y159" s="1"/>
      <c r="Z159" s="5">
        <f t="shared" si="60"/>
        <v>-0.53820359281437125</v>
      </c>
    </row>
    <row r="160" spans="1:26" s="24" customFormat="1" hidden="1" outlineLevel="2" x14ac:dyDescent="0.25">
      <c r="A160" s="27"/>
      <c r="B160" s="11" t="str">
        <f>CONCATENATE("          ", "6351", " - ", "EQUIPMENT RENTAL")</f>
        <v xml:space="preserve">          6351 - EQUIPMENT RENTAL</v>
      </c>
      <c r="C160" s="11"/>
      <c r="D160" s="6">
        <v>1388.16</v>
      </c>
      <c r="E160" s="2"/>
      <c r="F160" s="7">
        <f t="shared" si="53"/>
        <v>6.6458561402234261E-4</v>
      </c>
      <c r="G160" s="2"/>
      <c r="H160" s="6">
        <v>3006</v>
      </c>
      <c r="I160" s="2"/>
      <c r="J160" s="7">
        <f t="shared" si="54"/>
        <v>1.2294724924957596E-3</v>
      </c>
      <c r="K160" s="2"/>
      <c r="L160" s="6">
        <f t="shared" si="55"/>
        <v>-1617.84</v>
      </c>
      <c r="M160" s="2"/>
      <c r="N160" s="7">
        <f t="shared" si="56"/>
        <v>-0.53820359281437125</v>
      </c>
      <c r="O160" s="11"/>
      <c r="P160" s="6">
        <v>2776.32</v>
      </c>
      <c r="Q160" s="2"/>
      <c r="R160" s="7">
        <f t="shared" si="57"/>
        <v>1.0997963848400796E-3</v>
      </c>
      <c r="S160" s="2"/>
      <c r="T160" s="6">
        <v>6012</v>
      </c>
      <c r="U160" s="2"/>
      <c r="V160" s="7">
        <f t="shared" si="58"/>
        <v>1.9517921620545891E-3</v>
      </c>
      <c r="W160" s="2"/>
      <c r="X160" s="6">
        <f t="shared" si="59"/>
        <v>-3235.68</v>
      </c>
      <c r="Y160" s="2"/>
      <c r="Z160" s="7">
        <f t="shared" si="60"/>
        <v>-0.53820359281437125</v>
      </c>
    </row>
    <row r="161" spans="1:26" s="29" customFormat="1" outlineLevel="1" collapsed="1" x14ac:dyDescent="0.25">
      <c r="A161" s="28"/>
      <c r="B161" s="14" t="str">
        <f>CONCATENATE("     ","Freight out/Postage                               ")</f>
        <v xml:space="preserve">     Freight out/Postage                               </v>
      </c>
      <c r="C161" s="14"/>
      <c r="D161" s="1">
        <f>SUM(OSRRefD22_10x_0)</f>
        <v>-83561.38</v>
      </c>
      <c r="E161" s="1"/>
      <c r="F161" s="5">
        <f t="shared" si="53"/>
        <v>-4.00052523022233E-2</v>
      </c>
      <c r="G161" s="1"/>
      <c r="H161" s="1">
        <f>SUM(OSRRefH22_10x_0)</f>
        <v>11150</v>
      </c>
      <c r="I161" s="1"/>
      <c r="J161" s="5">
        <f t="shared" si="54"/>
        <v>4.5604185932560616E-3</v>
      </c>
      <c r="K161" s="1"/>
      <c r="L161" s="1">
        <f t="shared" si="55"/>
        <v>-94711.38</v>
      </c>
      <c r="M161" s="1"/>
      <c r="N161" s="5">
        <f t="shared" si="56"/>
        <v>-8.4942941704035881</v>
      </c>
      <c r="O161" s="14"/>
      <c r="P161" s="1">
        <f>SUM(OSRRefP22_10x_0)</f>
        <v>-74622.12</v>
      </c>
      <c r="Q161" s="1"/>
      <c r="R161" s="5">
        <f t="shared" si="57"/>
        <v>-2.9560402909283721E-2</v>
      </c>
      <c r="S161" s="1"/>
      <c r="T161" s="1">
        <f>SUM(OSRRefT22_10x_0)</f>
        <v>16185</v>
      </c>
      <c r="U161" s="1"/>
      <c r="V161" s="5">
        <f t="shared" si="58"/>
        <v>5.2544504562297943E-3</v>
      </c>
      <c r="W161" s="1"/>
      <c r="X161" s="1">
        <f t="shared" si="59"/>
        <v>-90807.12</v>
      </c>
      <c r="Y161" s="1"/>
      <c r="Z161" s="5">
        <f t="shared" si="60"/>
        <v>-5.6105727525486557</v>
      </c>
    </row>
    <row r="162" spans="1:26" s="24" customFormat="1" hidden="1" outlineLevel="2" x14ac:dyDescent="0.25">
      <c r="A162" s="27"/>
      <c r="B162" s="11" t="str">
        <f>CONCATENATE("          ", "6305", " - ", "FREIGHT OUT")</f>
        <v xml:space="preserve">          6305 - FREIGHT OUT</v>
      </c>
      <c r="C162" s="11"/>
      <c r="D162" s="6">
        <v>8415.86</v>
      </c>
      <c r="E162" s="2"/>
      <c r="F162" s="7">
        <f t="shared" si="53"/>
        <v>4.0291173104152781E-3</v>
      </c>
      <c r="G162" s="2"/>
      <c r="H162" s="6">
        <v>3630</v>
      </c>
      <c r="I162" s="2"/>
      <c r="J162" s="7">
        <f t="shared" si="54"/>
        <v>1.4846923312573544E-3</v>
      </c>
      <c r="K162" s="2"/>
      <c r="L162" s="6">
        <f t="shared" si="55"/>
        <v>4785.8600000000006</v>
      </c>
      <c r="M162" s="2"/>
      <c r="N162" s="7">
        <f t="shared" si="56"/>
        <v>1.3184187327823693</v>
      </c>
      <c r="O162" s="11"/>
      <c r="P162" s="6">
        <v>20510.560000000001</v>
      </c>
      <c r="Q162" s="2"/>
      <c r="R162" s="7">
        <f t="shared" si="57"/>
        <v>8.1249422757627143E-3</v>
      </c>
      <c r="S162" s="2"/>
      <c r="T162" s="6">
        <v>5145</v>
      </c>
      <c r="U162" s="2"/>
      <c r="V162" s="7">
        <f t="shared" si="58"/>
        <v>1.6703211366884334E-3</v>
      </c>
      <c r="W162" s="2"/>
      <c r="X162" s="6">
        <f t="shared" si="59"/>
        <v>15365.560000000001</v>
      </c>
      <c r="Y162" s="2"/>
      <c r="Z162" s="7">
        <f t="shared" si="60"/>
        <v>2.9865034013605443</v>
      </c>
    </row>
    <row r="163" spans="1:26" s="24" customFormat="1" hidden="1" outlineLevel="2" x14ac:dyDescent="0.25">
      <c r="A163" s="27"/>
      <c r="B163" s="11" t="str">
        <f>CONCATENATE("          ", "6307", " - ", "POSTAGE")</f>
        <v xml:space="preserve">          6307 - POSTAGE</v>
      </c>
      <c r="C163" s="11"/>
      <c r="D163" s="6">
        <v>-91977.24</v>
      </c>
      <c r="E163" s="2"/>
      <c r="F163" s="7">
        <f t="shared" si="53"/>
        <v>-4.4034369612638576E-2</v>
      </c>
      <c r="G163" s="2"/>
      <c r="H163" s="6">
        <v>7520</v>
      </c>
      <c r="I163" s="2"/>
      <c r="J163" s="7">
        <f t="shared" si="54"/>
        <v>3.0757262619987066E-3</v>
      </c>
      <c r="K163" s="2"/>
      <c r="L163" s="6">
        <f t="shared" si="55"/>
        <v>-99497.24</v>
      </c>
      <c r="M163" s="2"/>
      <c r="N163" s="7">
        <f t="shared" si="56"/>
        <v>-13.231015957446809</v>
      </c>
      <c r="O163" s="11"/>
      <c r="P163" s="6">
        <v>-95132.68</v>
      </c>
      <c r="Q163" s="2"/>
      <c r="R163" s="7">
        <f t="shared" si="57"/>
        <v>-3.7685345185046439E-2</v>
      </c>
      <c r="S163" s="2"/>
      <c r="T163" s="6">
        <v>11040</v>
      </c>
      <c r="U163" s="2"/>
      <c r="V163" s="7">
        <f t="shared" si="58"/>
        <v>3.5841293195413614E-3</v>
      </c>
      <c r="W163" s="2"/>
      <c r="X163" s="6">
        <f t="shared" si="59"/>
        <v>-106172.68</v>
      </c>
      <c r="Y163" s="2"/>
      <c r="Z163" s="7">
        <f t="shared" si="60"/>
        <v>-9.617090579710144</v>
      </c>
    </row>
    <row r="164" spans="1:26" s="29" customFormat="1" outlineLevel="1" collapsed="1" x14ac:dyDescent="0.25">
      <c r="A164" s="28"/>
      <c r="B164" s="14" t="str">
        <f>CONCATENATE("     ","General                                           ")</f>
        <v xml:space="preserve">     General                                           </v>
      </c>
      <c r="C164" s="14"/>
      <c r="D164" s="1">
        <f>SUM(OSRRefD22_11x_0)</f>
        <v>113.26</v>
      </c>
      <c r="E164" s="1"/>
      <c r="F164" s="5">
        <f t="shared" ref="F164:F167" si="61">IF(D$12=0,0,D164/D$12)</f>
        <v>5.4223552504156954E-5</v>
      </c>
      <c r="G164" s="1"/>
      <c r="H164" s="1">
        <f>SUM(OSRRefH22_11x_0)</f>
        <v>655</v>
      </c>
      <c r="I164" s="1"/>
      <c r="J164" s="5">
        <f t="shared" ref="J164:J167" si="62">IF(H$12=0,0,H164/H$12)</f>
        <v>2.6789902946930226E-4</v>
      </c>
      <c r="K164" s="1"/>
      <c r="L164" s="1">
        <f t="shared" ref="L164:L167" si="63">+D164-H164</f>
        <v>-541.74</v>
      </c>
      <c r="M164" s="1"/>
      <c r="N164" s="5">
        <f t="shared" ref="N164:N167" si="64">IF(H164=0,0,L164/H164)</f>
        <v>-0.82708396946564888</v>
      </c>
      <c r="O164" s="14"/>
      <c r="P164" s="1">
        <f>SUM(OSRRefP22_11x_0)</f>
        <v>-3236.98</v>
      </c>
      <c r="Q164" s="1"/>
      <c r="R164" s="5">
        <f t="shared" ref="R164:R167" si="65">IF(P$12=0,0,P164/P$12)</f>
        <v>-1.282279745058077E-3</v>
      </c>
      <c r="S164" s="1"/>
      <c r="T164" s="1">
        <f>SUM(OSRRefT22_11x_0)</f>
        <v>2335</v>
      </c>
      <c r="U164" s="1"/>
      <c r="V164" s="5">
        <f t="shared" ref="V164:V167" si="66">IF(T$12=0,0,T164/T$12)</f>
        <v>7.5805633705879332E-4</v>
      </c>
      <c r="W164" s="1"/>
      <c r="X164" s="1">
        <f t="shared" ref="X164:X167" si="67">+P164-T164</f>
        <v>-5571.98</v>
      </c>
      <c r="Y164" s="1"/>
      <c r="Z164" s="5">
        <f t="shared" ref="Z164:Z167" si="68">IF(T164=0,0,X164/T164)</f>
        <v>-2.3862869379014988</v>
      </c>
    </row>
    <row r="165" spans="1:26" s="24" customFormat="1" hidden="1" outlineLevel="2" x14ac:dyDescent="0.25">
      <c r="A165" s="27"/>
      <c r="B165" s="11" t="str">
        <f>CONCATENATE("          ", "6269", " - ", "ENTERTAINMENT")</f>
        <v xml:space="preserve">          6269 - ENTERTAINMENT</v>
      </c>
      <c r="C165" s="11"/>
      <c r="D165" s="6"/>
      <c r="E165" s="2"/>
      <c r="F165" s="7">
        <f t="shared" si="61"/>
        <v>0</v>
      </c>
      <c r="G165" s="2"/>
      <c r="H165" s="6">
        <v>125</v>
      </c>
      <c r="I165" s="2"/>
      <c r="J165" s="7">
        <f t="shared" si="62"/>
        <v>5.1125768982691267E-5</v>
      </c>
      <c r="K165" s="2"/>
      <c r="L165" s="6">
        <f t="shared" si="63"/>
        <v>-125</v>
      </c>
      <c r="M165" s="2"/>
      <c r="N165" s="7">
        <f t="shared" si="64"/>
        <v>-1</v>
      </c>
      <c r="O165" s="11"/>
      <c r="P165" s="6"/>
      <c r="Q165" s="2"/>
      <c r="R165" s="7">
        <f t="shared" si="65"/>
        <v>0</v>
      </c>
      <c r="S165" s="2"/>
      <c r="T165" s="6">
        <v>125</v>
      </c>
      <c r="U165" s="2"/>
      <c r="V165" s="7">
        <f t="shared" si="66"/>
        <v>4.0581174360749109E-5</v>
      </c>
      <c r="W165" s="2"/>
      <c r="X165" s="6">
        <f t="shared" si="67"/>
        <v>-125</v>
      </c>
      <c r="Y165" s="2"/>
      <c r="Z165" s="7">
        <f t="shared" si="68"/>
        <v>-1</v>
      </c>
    </row>
    <row r="166" spans="1:26" s="24" customFormat="1" hidden="1" outlineLevel="2" x14ac:dyDescent="0.25">
      <c r="A166" s="27"/>
      <c r="B166" s="11" t="str">
        <f>CONCATENATE("          ", "6276", " - ", "PROPERTY TAX")</f>
        <v xml:space="preserve">          6276 - PROPERTY TAX</v>
      </c>
      <c r="C166" s="11"/>
      <c r="D166" s="6"/>
      <c r="E166" s="2"/>
      <c r="F166" s="7">
        <f t="shared" si="61"/>
        <v>0</v>
      </c>
      <c r="G166" s="2"/>
      <c r="H166" s="6"/>
      <c r="I166" s="2"/>
      <c r="J166" s="7">
        <f t="shared" si="62"/>
        <v>0</v>
      </c>
      <c r="K166" s="2"/>
      <c r="L166" s="6">
        <f t="shared" si="63"/>
        <v>0</v>
      </c>
      <c r="M166" s="2"/>
      <c r="N166" s="7">
        <f t="shared" si="64"/>
        <v>0</v>
      </c>
      <c r="O166" s="11"/>
      <c r="P166" s="6"/>
      <c r="Q166" s="2"/>
      <c r="R166" s="7">
        <f t="shared" si="65"/>
        <v>0</v>
      </c>
      <c r="S166" s="2"/>
      <c r="T166" s="6">
        <v>150</v>
      </c>
      <c r="U166" s="2"/>
      <c r="V166" s="7">
        <f t="shared" si="66"/>
        <v>4.8697409232898929E-5</v>
      </c>
      <c r="W166" s="2"/>
      <c r="X166" s="6">
        <f t="shared" si="67"/>
        <v>-150</v>
      </c>
      <c r="Y166" s="2"/>
      <c r="Z166" s="7">
        <f t="shared" si="68"/>
        <v>-1</v>
      </c>
    </row>
    <row r="167" spans="1:26" s="24" customFormat="1" hidden="1" outlineLevel="2" x14ac:dyDescent="0.25">
      <c r="A167" s="27"/>
      <c r="B167" s="11" t="str">
        <f>CONCATENATE("          ", "6279", " - ", "GENERAL EXPENSE")</f>
        <v xml:space="preserve">          6279 - GENERAL EXPENSE</v>
      </c>
      <c r="C167" s="11"/>
      <c r="D167" s="6">
        <v>113.26</v>
      </c>
      <c r="E167" s="2"/>
      <c r="F167" s="7">
        <f t="shared" si="61"/>
        <v>5.4223552504156954E-5</v>
      </c>
      <c r="G167" s="2"/>
      <c r="H167" s="6">
        <v>530</v>
      </c>
      <c r="I167" s="2"/>
      <c r="J167" s="7">
        <f t="shared" si="62"/>
        <v>2.1677326048661098E-4</v>
      </c>
      <c r="K167" s="2"/>
      <c r="L167" s="6">
        <f t="shared" si="63"/>
        <v>-416.74</v>
      </c>
      <c r="M167" s="2"/>
      <c r="N167" s="7">
        <f t="shared" si="64"/>
        <v>-0.78630188679245283</v>
      </c>
      <c r="O167" s="11"/>
      <c r="P167" s="6">
        <v>-3236.98</v>
      </c>
      <c r="Q167" s="2"/>
      <c r="R167" s="7">
        <f t="shared" si="65"/>
        <v>-1.282279745058077E-3</v>
      </c>
      <c r="S167" s="2"/>
      <c r="T167" s="6">
        <v>2060</v>
      </c>
      <c r="U167" s="2"/>
      <c r="V167" s="7">
        <f t="shared" si="66"/>
        <v>6.6877775346514527E-4</v>
      </c>
      <c r="W167" s="2"/>
      <c r="X167" s="6">
        <f t="shared" si="67"/>
        <v>-5296.98</v>
      </c>
      <c r="Y167" s="2"/>
      <c r="Z167" s="7">
        <f t="shared" si="68"/>
        <v>-2.5713495145631065</v>
      </c>
    </row>
    <row r="168" spans="1:26" s="29" customFormat="1" outlineLevel="1" collapsed="1" x14ac:dyDescent="0.25">
      <c r="A168" s="28"/>
      <c r="B168" s="14" t="str">
        <f>CONCATENATE("     ","Insurance                                         ")</f>
        <v xml:space="preserve">     Insurance                                         </v>
      </c>
      <c r="C168" s="14"/>
      <c r="D168" s="1">
        <f>SUM(OSRRefD22_12x_0)</f>
        <v>4044.74</v>
      </c>
      <c r="E168" s="1"/>
      <c r="F168" s="5">
        <f t="shared" ref="F168:F180" si="69">IF(D$12=0,0,D168/D$12)</f>
        <v>1.9364309708252143E-3</v>
      </c>
      <c r="G168" s="1"/>
      <c r="H168" s="1">
        <f>SUM(OSRRefH22_12x_0)</f>
        <v>4446</v>
      </c>
      <c r="I168" s="1"/>
      <c r="J168" s="5">
        <f t="shared" ref="J168:J180" si="70">IF(H$12=0,0,H168/H$12)</f>
        <v>1.818441351176363E-3</v>
      </c>
      <c r="K168" s="1"/>
      <c r="L168" s="1">
        <f t="shared" ref="L168:L180" si="71">+D168-H168</f>
        <v>-401.26000000000022</v>
      </c>
      <c r="M168" s="1"/>
      <c r="N168" s="5">
        <f t="shared" ref="N168:N180" si="72">IF(H168=0,0,L168/H168)</f>
        <v>-9.0251911830859247E-2</v>
      </c>
      <c r="O168" s="14"/>
      <c r="P168" s="1">
        <f>SUM(OSRRefP22_12x_0)</f>
        <v>8089.48</v>
      </c>
      <c r="Q168" s="1"/>
      <c r="R168" s="5">
        <f t="shared" ref="R168:R180" si="73">IF(P$12=0,0,P168/P$12)</f>
        <v>3.204522842912966E-3</v>
      </c>
      <c r="S168" s="1"/>
      <c r="T168" s="1">
        <f>SUM(OSRRefT22_12x_0)</f>
        <v>8892</v>
      </c>
      <c r="U168" s="1"/>
      <c r="V168" s="5">
        <f t="shared" ref="V168:V180" si="74">IF(T$12=0,0,T168/T$12)</f>
        <v>2.8867824193262487E-3</v>
      </c>
      <c r="W168" s="1"/>
      <c r="X168" s="1">
        <f t="shared" ref="X168:X180" si="75">+P168-T168</f>
        <v>-802.52000000000044</v>
      </c>
      <c r="Y168" s="1"/>
      <c r="Z168" s="5">
        <f t="shared" ref="Z168:Z180" si="76">IF(T168=0,0,X168/T168)</f>
        <v>-9.0251911830859247E-2</v>
      </c>
    </row>
    <row r="169" spans="1:26" s="24" customFormat="1" hidden="1" outlineLevel="2" x14ac:dyDescent="0.25">
      <c r="A169" s="27"/>
      <c r="B169" s="11" t="str">
        <f>CONCATENATE("          ", "6314", " - ", "LIABILITY INSURANCE")</f>
        <v xml:space="preserve">          6314 - LIABILITY INSURANCE</v>
      </c>
      <c r="C169" s="11"/>
      <c r="D169" s="6">
        <v>4044.74</v>
      </c>
      <c r="E169" s="2"/>
      <c r="F169" s="7">
        <f t="shared" si="69"/>
        <v>1.9364309708252143E-3</v>
      </c>
      <c r="G169" s="2"/>
      <c r="H169" s="6">
        <v>4446</v>
      </c>
      <c r="I169" s="2"/>
      <c r="J169" s="7">
        <f t="shared" si="70"/>
        <v>1.818441351176363E-3</v>
      </c>
      <c r="K169" s="2"/>
      <c r="L169" s="6">
        <f t="shared" si="71"/>
        <v>-401.26000000000022</v>
      </c>
      <c r="M169" s="2"/>
      <c r="N169" s="7">
        <f t="shared" si="72"/>
        <v>-9.0251911830859247E-2</v>
      </c>
      <c r="O169" s="11"/>
      <c r="P169" s="6">
        <v>8089.48</v>
      </c>
      <c r="Q169" s="2"/>
      <c r="R169" s="7">
        <f t="shared" si="73"/>
        <v>3.204522842912966E-3</v>
      </c>
      <c r="S169" s="2"/>
      <c r="T169" s="6">
        <v>8892</v>
      </c>
      <c r="U169" s="2"/>
      <c r="V169" s="7">
        <f t="shared" si="74"/>
        <v>2.8867824193262487E-3</v>
      </c>
      <c r="W169" s="2"/>
      <c r="X169" s="6">
        <f t="shared" si="75"/>
        <v>-802.52000000000044</v>
      </c>
      <c r="Y169" s="2"/>
      <c r="Z169" s="7">
        <f t="shared" si="76"/>
        <v>-9.0251911830859247E-2</v>
      </c>
    </row>
    <row r="170" spans="1:26" s="29" customFormat="1" outlineLevel="1" collapsed="1" x14ac:dyDescent="0.25">
      <c r="A170" s="28"/>
      <c r="B170" s="14" t="str">
        <f>CONCATENATE("     ","Inventory Adjustment                              ")</f>
        <v xml:space="preserve">     Inventory Adjustment                              </v>
      </c>
      <c r="C170" s="14"/>
      <c r="D170" s="1">
        <f>SUM(OSRRefD22_13x_0)</f>
        <v>3350</v>
      </c>
      <c r="E170" s="1"/>
      <c r="F170" s="5">
        <f t="shared" si="69"/>
        <v>1.6038221869055782E-3</v>
      </c>
      <c r="G170" s="1"/>
      <c r="H170" s="1">
        <f>SUM(OSRRefH22_13x_0)</f>
        <v>4350</v>
      </c>
      <c r="I170" s="1"/>
      <c r="J170" s="5">
        <f t="shared" si="70"/>
        <v>1.7791767605976562E-3</v>
      </c>
      <c r="K170" s="1"/>
      <c r="L170" s="1">
        <f t="shared" si="71"/>
        <v>-1000</v>
      </c>
      <c r="M170" s="1"/>
      <c r="N170" s="5">
        <f t="shared" si="72"/>
        <v>-0.22988505747126436</v>
      </c>
      <c r="O170" s="14"/>
      <c r="P170" s="1">
        <f>SUM(OSRRefP22_13x_0)</f>
        <v>6700</v>
      </c>
      <c r="Q170" s="1"/>
      <c r="R170" s="5">
        <f t="shared" si="73"/>
        <v>2.654101752834159E-3</v>
      </c>
      <c r="S170" s="1"/>
      <c r="T170" s="1">
        <f>SUM(OSRRefT22_13x_0)</f>
        <v>8700</v>
      </c>
      <c r="U170" s="1"/>
      <c r="V170" s="5">
        <f t="shared" si="74"/>
        <v>2.824449735508138E-3</v>
      </c>
      <c r="W170" s="1"/>
      <c r="X170" s="1">
        <f t="shared" si="75"/>
        <v>-2000</v>
      </c>
      <c r="Y170" s="1"/>
      <c r="Z170" s="5">
        <f t="shared" si="76"/>
        <v>-0.22988505747126436</v>
      </c>
    </row>
    <row r="171" spans="1:26" s="24" customFormat="1" hidden="1" outlineLevel="2" x14ac:dyDescent="0.25">
      <c r="A171" s="27"/>
      <c r="B171" s="11" t="str">
        <f>CONCATENATE("          ", "6408", " - ", "INVENTORY ADJUSTMENT")</f>
        <v xml:space="preserve">          6408 - INVENTORY ADJUSTMENT</v>
      </c>
      <c r="C171" s="11"/>
      <c r="D171" s="6">
        <v>3350</v>
      </c>
      <c r="E171" s="2"/>
      <c r="F171" s="7">
        <f t="shared" si="69"/>
        <v>1.6038221869055782E-3</v>
      </c>
      <c r="G171" s="2"/>
      <c r="H171" s="6">
        <v>4350</v>
      </c>
      <c r="I171" s="2"/>
      <c r="J171" s="7">
        <f t="shared" si="70"/>
        <v>1.7791767605976562E-3</v>
      </c>
      <c r="K171" s="2"/>
      <c r="L171" s="6">
        <f t="shared" si="71"/>
        <v>-1000</v>
      </c>
      <c r="M171" s="2"/>
      <c r="N171" s="7">
        <f t="shared" si="72"/>
        <v>-0.22988505747126436</v>
      </c>
      <c r="O171" s="11"/>
      <c r="P171" s="6">
        <v>6700</v>
      </c>
      <c r="Q171" s="2"/>
      <c r="R171" s="7">
        <f t="shared" si="73"/>
        <v>2.654101752834159E-3</v>
      </c>
      <c r="S171" s="2"/>
      <c r="T171" s="6">
        <v>8700</v>
      </c>
      <c r="U171" s="2"/>
      <c r="V171" s="7">
        <f t="shared" si="74"/>
        <v>2.824449735508138E-3</v>
      </c>
      <c r="W171" s="2"/>
      <c r="X171" s="6">
        <f t="shared" si="75"/>
        <v>-2000</v>
      </c>
      <c r="Y171" s="2"/>
      <c r="Z171" s="7">
        <f t="shared" si="76"/>
        <v>-0.22988505747126436</v>
      </c>
    </row>
    <row r="172" spans="1:26" s="29" customFormat="1" outlineLevel="1" collapsed="1" x14ac:dyDescent="0.25">
      <c r="A172" s="28"/>
      <c r="B172" s="14" t="str">
        <f>CONCATENATE("     ","Professional Services                             ")</f>
        <v xml:space="preserve">     Professional Services                             </v>
      </c>
      <c r="C172" s="14"/>
      <c r="D172" s="1">
        <f>SUM(OSRRefD22_14x_0)</f>
        <v>0</v>
      </c>
      <c r="E172" s="1"/>
      <c r="F172" s="5">
        <f t="shared" si="69"/>
        <v>0</v>
      </c>
      <c r="G172" s="1"/>
      <c r="H172" s="1">
        <f>SUM(OSRRefH22_14x_0)</f>
        <v>0</v>
      </c>
      <c r="I172" s="1"/>
      <c r="J172" s="5">
        <f t="shared" si="70"/>
        <v>0</v>
      </c>
      <c r="K172" s="1"/>
      <c r="L172" s="1">
        <f t="shared" si="71"/>
        <v>0</v>
      </c>
      <c r="M172" s="1"/>
      <c r="N172" s="5">
        <f t="shared" si="72"/>
        <v>0</v>
      </c>
      <c r="O172" s="14"/>
      <c r="P172" s="1">
        <f>SUM(OSRRefP22_14x_0)</f>
        <v>0</v>
      </c>
      <c r="Q172" s="1"/>
      <c r="R172" s="5">
        <f t="shared" si="73"/>
        <v>0</v>
      </c>
      <c r="S172" s="1"/>
      <c r="T172" s="1">
        <f>SUM(OSRRefT22_14x_0)</f>
        <v>6550</v>
      </c>
      <c r="U172" s="1"/>
      <c r="V172" s="5">
        <f t="shared" si="74"/>
        <v>2.1264535365032532E-3</v>
      </c>
      <c r="W172" s="1"/>
      <c r="X172" s="1">
        <f t="shared" si="75"/>
        <v>-6550</v>
      </c>
      <c r="Y172" s="1"/>
      <c r="Z172" s="5">
        <f t="shared" si="76"/>
        <v>-1</v>
      </c>
    </row>
    <row r="173" spans="1:26" s="24" customFormat="1" hidden="1" outlineLevel="2" x14ac:dyDescent="0.25">
      <c r="A173" s="27"/>
      <c r="B173" s="11" t="str">
        <f>CONCATENATE("          ", "6336", " - ", "PROFESSIONAL SERVICES")</f>
        <v xml:space="preserve">          6336 - PROFESSIONAL SERVICES</v>
      </c>
      <c r="C173" s="11"/>
      <c r="D173" s="6"/>
      <c r="E173" s="2"/>
      <c r="F173" s="7">
        <f t="shared" si="69"/>
        <v>0</v>
      </c>
      <c r="G173" s="2"/>
      <c r="H173" s="6">
        <v>0</v>
      </c>
      <c r="I173" s="2"/>
      <c r="J173" s="7">
        <f t="shared" si="70"/>
        <v>0</v>
      </c>
      <c r="K173" s="2"/>
      <c r="L173" s="6">
        <f t="shared" si="71"/>
        <v>0</v>
      </c>
      <c r="M173" s="2"/>
      <c r="N173" s="7">
        <f t="shared" si="72"/>
        <v>0</v>
      </c>
      <c r="O173" s="11"/>
      <c r="P173" s="6"/>
      <c r="Q173" s="2"/>
      <c r="R173" s="7">
        <f t="shared" si="73"/>
        <v>0</v>
      </c>
      <c r="S173" s="2"/>
      <c r="T173" s="6">
        <v>6550</v>
      </c>
      <c r="U173" s="2"/>
      <c r="V173" s="7">
        <f t="shared" si="74"/>
        <v>2.1264535365032532E-3</v>
      </c>
      <c r="W173" s="2"/>
      <c r="X173" s="6">
        <f t="shared" si="75"/>
        <v>-6550</v>
      </c>
      <c r="Y173" s="2"/>
      <c r="Z173" s="7">
        <f t="shared" si="76"/>
        <v>-1</v>
      </c>
    </row>
    <row r="174" spans="1:26" s="29" customFormat="1" outlineLevel="1" collapsed="1" x14ac:dyDescent="0.25">
      <c r="A174" s="28"/>
      <c r="B174" s="14" t="str">
        <f>CONCATENATE("     ","Rent                                              ")</f>
        <v xml:space="preserve">     Rent                                              </v>
      </c>
      <c r="C174" s="14"/>
      <c r="D174" s="1">
        <f>SUM(OSRRefD22_15x_0)</f>
        <v>6100</v>
      </c>
      <c r="E174" s="1"/>
      <c r="F174" s="5">
        <f t="shared" si="69"/>
        <v>2.9203926388429932E-3</v>
      </c>
      <c r="G174" s="1"/>
      <c r="H174" s="1">
        <f>SUM(OSRRefH22_15x_0)</f>
        <v>6100</v>
      </c>
      <c r="I174" s="1"/>
      <c r="J174" s="5">
        <f t="shared" si="70"/>
        <v>2.4949375263553339E-3</v>
      </c>
      <c r="K174" s="1"/>
      <c r="L174" s="1">
        <f t="shared" si="71"/>
        <v>0</v>
      </c>
      <c r="M174" s="1"/>
      <c r="N174" s="5">
        <f t="shared" si="72"/>
        <v>0</v>
      </c>
      <c r="O174" s="14"/>
      <c r="P174" s="1">
        <f>SUM(OSRRefP22_15x_0)</f>
        <v>12200</v>
      </c>
      <c r="Q174" s="1"/>
      <c r="R174" s="5">
        <f t="shared" si="73"/>
        <v>4.8328419976980206E-3</v>
      </c>
      <c r="S174" s="1"/>
      <c r="T174" s="1">
        <f>SUM(OSRRefT22_15x_0)</f>
        <v>12200</v>
      </c>
      <c r="U174" s="1"/>
      <c r="V174" s="5">
        <f t="shared" si="74"/>
        <v>3.960722617609113E-3</v>
      </c>
      <c r="W174" s="1"/>
      <c r="X174" s="1">
        <f t="shared" si="75"/>
        <v>0</v>
      </c>
      <c r="Y174" s="1"/>
      <c r="Z174" s="5">
        <f t="shared" si="76"/>
        <v>0</v>
      </c>
    </row>
    <row r="175" spans="1:26" s="24" customFormat="1" hidden="1" outlineLevel="2" x14ac:dyDescent="0.25">
      <c r="A175" s="27"/>
      <c r="B175" s="11" t="str">
        <f>CONCATENATE("          ", "6273", " - ", "RENT")</f>
        <v xml:space="preserve">          6273 - RENT</v>
      </c>
      <c r="C175" s="11"/>
      <c r="D175" s="6">
        <v>6100</v>
      </c>
      <c r="E175" s="2"/>
      <c r="F175" s="7">
        <f t="shared" si="69"/>
        <v>2.9203926388429932E-3</v>
      </c>
      <c r="G175" s="2"/>
      <c r="H175" s="6">
        <v>6100</v>
      </c>
      <c r="I175" s="2"/>
      <c r="J175" s="7">
        <f t="shared" si="70"/>
        <v>2.4949375263553339E-3</v>
      </c>
      <c r="K175" s="2"/>
      <c r="L175" s="6">
        <f t="shared" si="71"/>
        <v>0</v>
      </c>
      <c r="M175" s="2"/>
      <c r="N175" s="7">
        <f t="shared" si="72"/>
        <v>0</v>
      </c>
      <c r="O175" s="11"/>
      <c r="P175" s="6">
        <v>12200</v>
      </c>
      <c r="Q175" s="2"/>
      <c r="R175" s="7">
        <f t="shared" si="73"/>
        <v>4.8328419976980206E-3</v>
      </c>
      <c r="S175" s="2"/>
      <c r="T175" s="6">
        <v>12200</v>
      </c>
      <c r="U175" s="2"/>
      <c r="V175" s="7">
        <f t="shared" si="74"/>
        <v>3.960722617609113E-3</v>
      </c>
      <c r="W175" s="2"/>
      <c r="X175" s="6">
        <f t="shared" si="75"/>
        <v>0</v>
      </c>
      <c r="Y175" s="2"/>
      <c r="Z175" s="7">
        <f t="shared" si="76"/>
        <v>0</v>
      </c>
    </row>
    <row r="176" spans="1:26" s="29" customFormat="1" outlineLevel="1" collapsed="1" x14ac:dyDescent="0.25">
      <c r="A176" s="28"/>
      <c r="B176" s="14" t="str">
        <f>CONCATENATE("     ","Repair and Maintenance                            ")</f>
        <v xml:space="preserve">     Repair and Maintenance                            </v>
      </c>
      <c r="C176" s="14"/>
      <c r="D176" s="1">
        <f>SUM(OSRRefD22_16x_0)</f>
        <v>6705.0199999999995</v>
      </c>
      <c r="E176" s="1"/>
      <c r="F176" s="5">
        <f t="shared" si="69"/>
        <v>3.2100477133270564E-3</v>
      </c>
      <c r="G176" s="1"/>
      <c r="H176" s="1">
        <f>SUM(OSRRefH22_16x_0)</f>
        <v>12460</v>
      </c>
      <c r="I176" s="1"/>
      <c r="J176" s="5">
        <f t="shared" si="70"/>
        <v>5.0962166521946652E-3</v>
      </c>
      <c r="K176" s="1"/>
      <c r="L176" s="1">
        <f t="shared" si="71"/>
        <v>-5754.9800000000005</v>
      </c>
      <c r="M176" s="1"/>
      <c r="N176" s="5">
        <f t="shared" si="72"/>
        <v>-0.46187640449438205</v>
      </c>
      <c r="O176" s="14"/>
      <c r="P176" s="1">
        <f>SUM(OSRRefP22_16x_0)</f>
        <v>73052.790000000008</v>
      </c>
      <c r="Q176" s="1"/>
      <c r="R176" s="5">
        <f t="shared" si="73"/>
        <v>2.8938737013197872E-2</v>
      </c>
      <c r="S176" s="1"/>
      <c r="T176" s="1">
        <f>SUM(OSRRefT22_16x_0)</f>
        <v>69375</v>
      </c>
      <c r="U176" s="1"/>
      <c r="V176" s="5">
        <f t="shared" si="74"/>
        <v>2.2522551770215754E-2</v>
      </c>
      <c r="W176" s="1"/>
      <c r="X176" s="1">
        <f t="shared" si="75"/>
        <v>3677.7900000000081</v>
      </c>
      <c r="Y176" s="1"/>
      <c r="Z176" s="5">
        <f t="shared" si="76"/>
        <v>5.3013189189189305E-2</v>
      </c>
    </row>
    <row r="177" spans="1:26" s="24" customFormat="1" hidden="1" outlineLevel="2" x14ac:dyDescent="0.25">
      <c r="A177" s="27"/>
      <c r="B177" s="11" t="str">
        <f>CONCATENATE("          ", "6371", " - ", "COMPUTER SOFTWARE MAINTENANCE")</f>
        <v xml:space="preserve">          6371 - COMPUTER SOFTWARE MAINTENANCE</v>
      </c>
      <c r="C177" s="11"/>
      <c r="D177" s="6"/>
      <c r="E177" s="2"/>
      <c r="F177" s="7">
        <f t="shared" si="69"/>
        <v>0</v>
      </c>
      <c r="G177" s="2"/>
      <c r="H177" s="6"/>
      <c r="I177" s="2"/>
      <c r="J177" s="7">
        <f t="shared" si="70"/>
        <v>0</v>
      </c>
      <c r="K177" s="2"/>
      <c r="L177" s="6">
        <f t="shared" si="71"/>
        <v>0</v>
      </c>
      <c r="M177" s="2"/>
      <c r="N177" s="7">
        <f t="shared" si="72"/>
        <v>0</v>
      </c>
      <c r="O177" s="11"/>
      <c r="P177" s="6">
        <v>58428.780000000006</v>
      </c>
      <c r="Q177" s="2"/>
      <c r="R177" s="7">
        <f t="shared" si="73"/>
        <v>2.3145660808053952E-2</v>
      </c>
      <c r="S177" s="2"/>
      <c r="T177" s="6">
        <v>45000</v>
      </c>
      <c r="U177" s="2"/>
      <c r="V177" s="7">
        <f t="shared" si="74"/>
        <v>1.460922276986968E-2</v>
      </c>
      <c r="W177" s="2"/>
      <c r="X177" s="6">
        <f t="shared" si="75"/>
        <v>13428.780000000006</v>
      </c>
      <c r="Y177" s="2"/>
      <c r="Z177" s="7">
        <f t="shared" si="76"/>
        <v>0.29841733333333348</v>
      </c>
    </row>
    <row r="178" spans="1:26" s="24" customFormat="1" hidden="1" outlineLevel="2" x14ac:dyDescent="0.25">
      <c r="A178" s="27"/>
      <c r="B178" s="11" t="str">
        <f>CONCATENATE("          ", "6372", " - ", "COMPUTER HARDWARE MAINTENANCE")</f>
        <v xml:space="preserve">          6372 - COMPUTER HARDWARE MAINTENANCE</v>
      </c>
      <c r="C178" s="11"/>
      <c r="D178" s="6">
        <v>0.98</v>
      </c>
      <c r="E178" s="2"/>
      <c r="F178" s="7">
        <f t="shared" si="69"/>
        <v>4.6917783378133331E-7</v>
      </c>
      <c r="G178" s="2"/>
      <c r="H178" s="6"/>
      <c r="I178" s="2"/>
      <c r="J178" s="7">
        <f t="shared" si="70"/>
        <v>0</v>
      </c>
      <c r="K178" s="2"/>
      <c r="L178" s="6">
        <f t="shared" si="71"/>
        <v>0.98</v>
      </c>
      <c r="M178" s="2"/>
      <c r="N178" s="7">
        <f t="shared" si="72"/>
        <v>0</v>
      </c>
      <c r="O178" s="11"/>
      <c r="P178" s="6">
        <v>0.98</v>
      </c>
      <c r="Q178" s="2"/>
      <c r="R178" s="7">
        <f t="shared" si="73"/>
        <v>3.8821189817574267E-7</v>
      </c>
      <c r="S178" s="2"/>
      <c r="T178" s="6"/>
      <c r="U178" s="2"/>
      <c r="V178" s="7">
        <f t="shared" si="74"/>
        <v>0</v>
      </c>
      <c r="W178" s="2"/>
      <c r="X178" s="6">
        <f t="shared" si="75"/>
        <v>0.98</v>
      </c>
      <c r="Y178" s="2"/>
      <c r="Z178" s="7">
        <f t="shared" si="76"/>
        <v>0</v>
      </c>
    </row>
    <row r="179" spans="1:26" s="24" customFormat="1" hidden="1" outlineLevel="2" x14ac:dyDescent="0.25">
      <c r="A179" s="27"/>
      <c r="B179" s="11" t="str">
        <f>CONCATENATE("          ", "6373", " - ", "MAINTENANCE CONTRACTS")</f>
        <v xml:space="preserve">          6373 - MAINTENANCE CONTRACTS</v>
      </c>
      <c r="C179" s="11"/>
      <c r="D179" s="6">
        <v>6370.22</v>
      </c>
      <c r="E179" s="2"/>
      <c r="F179" s="7">
        <f t="shared" si="69"/>
        <v>3.0497612452148218E-3</v>
      </c>
      <c r="G179" s="2"/>
      <c r="H179" s="6">
        <v>3840</v>
      </c>
      <c r="I179" s="2"/>
      <c r="J179" s="7">
        <f t="shared" si="70"/>
        <v>1.5705836231482758E-3</v>
      </c>
      <c r="K179" s="2"/>
      <c r="L179" s="6">
        <f t="shared" si="71"/>
        <v>2530.2200000000003</v>
      </c>
      <c r="M179" s="2"/>
      <c r="N179" s="7">
        <f t="shared" si="72"/>
        <v>0.65891145833333342</v>
      </c>
      <c r="O179" s="11"/>
      <c r="P179" s="6">
        <v>12786.23</v>
      </c>
      <c r="Q179" s="2"/>
      <c r="R179" s="7">
        <f t="shared" si="73"/>
        <v>5.0650679783792105E-3</v>
      </c>
      <c r="S179" s="2"/>
      <c r="T179" s="6">
        <v>7380</v>
      </c>
      <c r="U179" s="2"/>
      <c r="V179" s="7">
        <f t="shared" si="74"/>
        <v>2.3959125342586274E-3</v>
      </c>
      <c r="W179" s="2"/>
      <c r="X179" s="6">
        <f t="shared" si="75"/>
        <v>5406.23</v>
      </c>
      <c r="Y179" s="2"/>
      <c r="Z179" s="7">
        <f t="shared" si="76"/>
        <v>0.73255149051490509</v>
      </c>
    </row>
    <row r="180" spans="1:26" s="24" customFormat="1" hidden="1" outlineLevel="2" x14ac:dyDescent="0.25">
      <c r="A180" s="27"/>
      <c r="B180" s="11" t="str">
        <f>CONCATENATE("          ", "6375", " - ", "OUTSIDE REPAIRS &amp; MAINTENANCE")</f>
        <v xml:space="preserve">          6375 - OUTSIDE REPAIRS &amp; MAINTENANCE</v>
      </c>
      <c r="C180" s="11"/>
      <c r="D180" s="6">
        <v>333.82</v>
      </c>
      <c r="E180" s="2"/>
      <c r="F180" s="7">
        <f t="shared" si="69"/>
        <v>1.5981729027845376E-4</v>
      </c>
      <c r="G180" s="2"/>
      <c r="H180" s="6">
        <v>8620</v>
      </c>
      <c r="I180" s="2"/>
      <c r="J180" s="7">
        <f t="shared" si="70"/>
        <v>3.5256330290463901E-3</v>
      </c>
      <c r="K180" s="2"/>
      <c r="L180" s="6">
        <f t="shared" si="71"/>
        <v>-8286.18</v>
      </c>
      <c r="M180" s="2"/>
      <c r="N180" s="7">
        <f t="shared" si="72"/>
        <v>-0.96127378190255219</v>
      </c>
      <c r="O180" s="11"/>
      <c r="P180" s="6">
        <v>1836.8</v>
      </c>
      <c r="Q180" s="2"/>
      <c r="R180" s="7">
        <f t="shared" si="73"/>
        <v>7.2762001486653476E-4</v>
      </c>
      <c r="S180" s="2"/>
      <c r="T180" s="6">
        <v>16995</v>
      </c>
      <c r="U180" s="2"/>
      <c r="V180" s="7">
        <f t="shared" si="74"/>
        <v>5.5174164660874488E-3</v>
      </c>
      <c r="W180" s="2"/>
      <c r="X180" s="6">
        <f t="shared" si="75"/>
        <v>-15158.2</v>
      </c>
      <c r="Y180" s="2"/>
      <c r="Z180" s="7">
        <f t="shared" si="76"/>
        <v>-0.89192115328037658</v>
      </c>
    </row>
    <row r="181" spans="1:26" s="29" customFormat="1" outlineLevel="1" collapsed="1" x14ac:dyDescent="0.25">
      <c r="A181" s="28"/>
      <c r="B181" s="14" t="str">
        <f>CONCATENATE("     ","Royalty &amp; Commissions                             ")</f>
        <v xml:space="preserve">     Royalty &amp; Commissions                             </v>
      </c>
      <c r="C181" s="14"/>
      <c r="D181" s="1">
        <f>SUM(OSRRefD22_17x_0)</f>
        <v>2254.65</v>
      </c>
      <c r="E181" s="1"/>
      <c r="F181" s="5">
        <f t="shared" ref="F181:F185" si="77">IF(D$12=0,0,D181/D$12)</f>
        <v>1.0794202070766156E-3</v>
      </c>
      <c r="G181" s="1"/>
      <c r="H181" s="1">
        <f>SUM(OSRRefH22_17x_0)</f>
        <v>6871</v>
      </c>
      <c r="I181" s="1"/>
      <c r="J181" s="5">
        <f t="shared" ref="J181:J185" si="78">IF(H$12=0,0,H181/H$12)</f>
        <v>2.8102812694405736E-3</v>
      </c>
      <c r="K181" s="1"/>
      <c r="L181" s="1">
        <f t="shared" ref="L181:L185" si="79">+D181-H181</f>
        <v>-4616.3500000000004</v>
      </c>
      <c r="M181" s="1"/>
      <c r="N181" s="5">
        <f t="shared" ref="N181:N185" si="80">IF(H181=0,0,L181/H181)</f>
        <v>-0.67185999126764673</v>
      </c>
      <c r="O181" s="14"/>
      <c r="P181" s="1">
        <f>SUM(OSRRefP22_17x_0)</f>
        <v>13244.4</v>
      </c>
      <c r="Q181" s="1"/>
      <c r="R181" s="5">
        <f t="shared" ref="R181:R185" si="81">IF(P$12=0,0,P181/P$12)</f>
        <v>5.2465649634681694E-3</v>
      </c>
      <c r="S181" s="1"/>
      <c r="T181" s="1">
        <f>SUM(OSRRefT22_17x_0)</f>
        <v>13292</v>
      </c>
      <c r="U181" s="1"/>
      <c r="V181" s="5">
        <f t="shared" ref="V181:V185" si="82">IF(T$12=0,0,T181/T$12)</f>
        <v>4.3152397568246171E-3</v>
      </c>
      <c r="W181" s="1"/>
      <c r="X181" s="1">
        <f t="shared" ref="X181:X185" si="83">+P181-T181</f>
        <v>-47.600000000000364</v>
      </c>
      <c r="Y181" s="1"/>
      <c r="Z181" s="5">
        <f t="shared" ref="Z181:Z185" si="84">IF(T181=0,0,X181/T181)</f>
        <v>-3.5811014143846197E-3</v>
      </c>
    </row>
    <row r="182" spans="1:26" s="24" customFormat="1" hidden="1" outlineLevel="2" x14ac:dyDescent="0.25">
      <c r="A182" s="27"/>
      <c r="B182" s="11" t="str">
        <f>CONCATENATE("          ", "6252", " - ", "ROYALTY DUE CSTV")</f>
        <v xml:space="preserve">          6252 - ROYALTY DUE CSTV</v>
      </c>
      <c r="C182" s="11"/>
      <c r="D182" s="6"/>
      <c r="E182" s="2"/>
      <c r="F182" s="7">
        <f t="shared" si="77"/>
        <v>0</v>
      </c>
      <c r="G182" s="2"/>
      <c r="H182" s="6">
        <v>1085</v>
      </c>
      <c r="I182" s="2"/>
      <c r="J182" s="7">
        <f t="shared" si="78"/>
        <v>4.4377167476976023E-4</v>
      </c>
      <c r="K182" s="2"/>
      <c r="L182" s="6">
        <f t="shared" si="79"/>
        <v>-1085</v>
      </c>
      <c r="M182" s="2"/>
      <c r="N182" s="7">
        <f t="shared" si="80"/>
        <v>-1</v>
      </c>
      <c r="O182" s="11"/>
      <c r="P182" s="6"/>
      <c r="Q182" s="2"/>
      <c r="R182" s="7">
        <f t="shared" si="81"/>
        <v>0</v>
      </c>
      <c r="S182" s="2"/>
      <c r="T182" s="6">
        <v>2170</v>
      </c>
      <c r="U182" s="2"/>
      <c r="V182" s="7">
        <f t="shared" si="82"/>
        <v>7.0448918690260449E-4</v>
      </c>
      <c r="W182" s="2"/>
      <c r="X182" s="6">
        <f t="shared" si="83"/>
        <v>-2170</v>
      </c>
      <c r="Y182" s="2"/>
      <c r="Z182" s="7">
        <f t="shared" si="84"/>
        <v>-1</v>
      </c>
    </row>
    <row r="183" spans="1:26" s="24" customFormat="1" hidden="1" outlineLevel="2" x14ac:dyDescent="0.25">
      <c r="A183" s="27"/>
      <c r="B183" s="11" t="str">
        <f>CONCATENATE("          ", "6253", " - ", "ROYALTY DUE ATHLETICS-LRG")</f>
        <v xml:space="preserve">          6253 - ROYALTY DUE ATHLETICS-LRG</v>
      </c>
      <c r="C183" s="11"/>
      <c r="D183" s="6">
        <v>2250</v>
      </c>
      <c r="E183" s="2"/>
      <c r="F183" s="7">
        <f t="shared" si="77"/>
        <v>1.0771940061306121E-3</v>
      </c>
      <c r="G183" s="2"/>
      <c r="H183" s="6">
        <v>4037</v>
      </c>
      <c r="I183" s="2"/>
      <c r="J183" s="7">
        <f t="shared" si="78"/>
        <v>1.6511578350649973E-3</v>
      </c>
      <c r="K183" s="2"/>
      <c r="L183" s="6">
        <f t="shared" si="79"/>
        <v>-1787</v>
      </c>
      <c r="M183" s="2"/>
      <c r="N183" s="7">
        <f t="shared" si="80"/>
        <v>-0.44265543720584594</v>
      </c>
      <c r="O183" s="11"/>
      <c r="P183" s="6">
        <v>7922.2</v>
      </c>
      <c r="Q183" s="2"/>
      <c r="R183" s="7">
        <f t="shared" si="81"/>
        <v>3.1382574487019066E-3</v>
      </c>
      <c r="S183" s="2"/>
      <c r="T183" s="6">
        <v>8074</v>
      </c>
      <c r="U183" s="2"/>
      <c r="V183" s="7">
        <f t="shared" si="82"/>
        <v>2.6212192143095065E-3</v>
      </c>
      <c r="W183" s="2"/>
      <c r="X183" s="6">
        <f t="shared" si="83"/>
        <v>-151.80000000000018</v>
      </c>
      <c r="Y183" s="2"/>
      <c r="Z183" s="7">
        <f t="shared" si="84"/>
        <v>-1.8801089918256152E-2</v>
      </c>
    </row>
    <row r="184" spans="1:26" s="24" customFormat="1" hidden="1" outlineLevel="2" x14ac:dyDescent="0.25">
      <c r="A184" s="27"/>
      <c r="B184" s="11" t="str">
        <f>CONCATENATE("          ", "6254", " - ", "ROYALTY &amp; COMMISSIONS")</f>
        <v xml:space="preserve">          6254 - ROYALTY &amp; COMMISSIONS</v>
      </c>
      <c r="C184" s="11"/>
      <c r="D184" s="6"/>
      <c r="E184" s="2"/>
      <c r="F184" s="7">
        <f t="shared" si="77"/>
        <v>0</v>
      </c>
      <c r="G184" s="2"/>
      <c r="H184" s="6">
        <v>1149</v>
      </c>
      <c r="I184" s="2"/>
      <c r="J184" s="7">
        <f t="shared" si="78"/>
        <v>4.6994806848889813E-4</v>
      </c>
      <c r="K184" s="2"/>
      <c r="L184" s="6">
        <f t="shared" si="79"/>
        <v>-1149</v>
      </c>
      <c r="M184" s="2"/>
      <c r="N184" s="7">
        <f t="shared" si="80"/>
        <v>-1</v>
      </c>
      <c r="O184" s="11"/>
      <c r="P184" s="6"/>
      <c r="Q184" s="2"/>
      <c r="R184" s="7">
        <f t="shared" si="81"/>
        <v>0</v>
      </c>
      <c r="S184" s="2"/>
      <c r="T184" s="6">
        <v>2298</v>
      </c>
      <c r="U184" s="2"/>
      <c r="V184" s="7">
        <f t="shared" si="82"/>
        <v>7.4604430944801166E-4</v>
      </c>
      <c r="W184" s="2"/>
      <c r="X184" s="6">
        <f t="shared" si="83"/>
        <v>-2298</v>
      </c>
      <c r="Y184" s="2"/>
      <c r="Z184" s="7">
        <f t="shared" si="84"/>
        <v>-1</v>
      </c>
    </row>
    <row r="185" spans="1:26" s="24" customFormat="1" hidden="1" outlineLevel="2" x14ac:dyDescent="0.25">
      <c r="A185" s="27"/>
      <c r="B185" s="11" t="str">
        <f>CONCATENATE("          ", "6259", " - ", "ROYALTY &amp; COMMISSIONS")</f>
        <v xml:space="preserve">          6259 - ROYALTY &amp; COMMISSIONS</v>
      </c>
      <c r="C185" s="11"/>
      <c r="D185" s="6">
        <v>4.6500000000000004</v>
      </c>
      <c r="E185" s="2"/>
      <c r="F185" s="7">
        <f t="shared" si="77"/>
        <v>2.2262009460032655E-6</v>
      </c>
      <c r="G185" s="2"/>
      <c r="H185" s="6">
        <v>600</v>
      </c>
      <c r="I185" s="2"/>
      <c r="J185" s="7">
        <f t="shared" si="78"/>
        <v>2.4540369111691808E-4</v>
      </c>
      <c r="K185" s="2"/>
      <c r="L185" s="6">
        <f t="shared" si="79"/>
        <v>-595.35</v>
      </c>
      <c r="M185" s="2"/>
      <c r="N185" s="7">
        <f t="shared" si="80"/>
        <v>-0.99225000000000008</v>
      </c>
      <c r="O185" s="11"/>
      <c r="P185" s="6">
        <v>5322.2</v>
      </c>
      <c r="Q185" s="2"/>
      <c r="R185" s="7">
        <f t="shared" si="81"/>
        <v>2.1083075147662628E-3</v>
      </c>
      <c r="S185" s="2"/>
      <c r="T185" s="6">
        <v>750</v>
      </c>
      <c r="U185" s="2"/>
      <c r="V185" s="7">
        <f t="shared" si="82"/>
        <v>2.4348704616449467E-4</v>
      </c>
      <c r="W185" s="2"/>
      <c r="X185" s="6">
        <f t="shared" si="83"/>
        <v>4572.2</v>
      </c>
      <c r="Y185" s="2"/>
      <c r="Z185" s="7">
        <f t="shared" si="84"/>
        <v>6.0962666666666667</v>
      </c>
    </row>
    <row r="186" spans="1:26" s="29" customFormat="1" outlineLevel="1" collapsed="1" x14ac:dyDescent="0.25">
      <c r="A186" s="28"/>
      <c r="B186" s="14" t="str">
        <f>CONCATENATE("     ","Services                                          ")</f>
        <v xml:space="preserve">     Services                                          </v>
      </c>
      <c r="C186" s="14"/>
      <c r="D186" s="1">
        <f>SUM(OSRRefD22_18x_0)</f>
        <v>421.78</v>
      </c>
      <c r="E186" s="1"/>
      <c r="F186" s="5">
        <f t="shared" ref="F186:F190" si="85">IF(D$12=0,0,D186/D$12)</f>
        <v>2.019283946247865E-4</v>
      </c>
      <c r="G186" s="1"/>
      <c r="H186" s="1">
        <f>SUM(OSRRefH22_18x_0)</f>
        <v>4729</v>
      </c>
      <c r="I186" s="1"/>
      <c r="J186" s="5">
        <f t="shared" ref="J186:J190" si="86">IF(H$12=0,0,H186/H$12)</f>
        <v>1.9341900921531761E-3</v>
      </c>
      <c r="K186" s="1"/>
      <c r="L186" s="1">
        <f t="shared" ref="L186:L190" si="87">+D186-H186</f>
        <v>-4307.22</v>
      </c>
      <c r="M186" s="1"/>
      <c r="N186" s="5">
        <f t="shared" ref="N186:N190" si="88">IF(H186=0,0,L186/H186)</f>
        <v>-0.91080989638401355</v>
      </c>
      <c r="O186" s="14"/>
      <c r="P186" s="1">
        <f>SUM(OSRRefP22_18x_0)</f>
        <v>4305.5200000000004</v>
      </c>
      <c r="Q186" s="1"/>
      <c r="R186" s="5">
        <f t="shared" ref="R186:R190" si="89">IF(P$12=0,0,P186/P$12)</f>
        <v>1.7055653998302282E-3</v>
      </c>
      <c r="S186" s="1"/>
      <c r="T186" s="1">
        <f>SUM(OSRRefT22_18x_0)</f>
        <v>9184</v>
      </c>
      <c r="U186" s="1"/>
      <c r="V186" s="5">
        <f t="shared" ref="V186:V190" si="90">IF(T$12=0,0,T186/T$12)</f>
        <v>2.9815800426329585E-3</v>
      </c>
      <c r="W186" s="1"/>
      <c r="X186" s="1">
        <f t="shared" ref="X186:X190" si="91">+P186-T186</f>
        <v>-4878.4799999999996</v>
      </c>
      <c r="Y186" s="1"/>
      <c r="Z186" s="5">
        <f t="shared" ref="Z186:Z190" si="92">IF(T186=0,0,X186/T186)</f>
        <v>-0.53119337979094072</v>
      </c>
    </row>
    <row r="187" spans="1:26" s="24" customFormat="1" hidden="1" outlineLevel="2" x14ac:dyDescent="0.25">
      <c r="A187" s="27"/>
      <c r="B187" s="11" t="str">
        <f>CONCATENATE("          ", "6282", " - ", "JANITORIAL/EXTERMINATOR EXPENS")</f>
        <v xml:space="preserve">          6282 - JANITORIAL/EXTERMINATOR EXPENS</v>
      </c>
      <c r="C187" s="11"/>
      <c r="D187" s="6">
        <v>339.94</v>
      </c>
      <c r="E187" s="2"/>
      <c r="F187" s="7">
        <f t="shared" si="85"/>
        <v>1.6274725797512903E-4</v>
      </c>
      <c r="G187" s="2"/>
      <c r="H187" s="6">
        <v>4000</v>
      </c>
      <c r="I187" s="2"/>
      <c r="J187" s="7">
        <f t="shared" si="86"/>
        <v>1.6360246074461206E-3</v>
      </c>
      <c r="K187" s="2"/>
      <c r="L187" s="6">
        <f t="shared" si="87"/>
        <v>-3660.06</v>
      </c>
      <c r="M187" s="2"/>
      <c r="N187" s="7">
        <f t="shared" si="88"/>
        <v>-0.91501500000000002</v>
      </c>
      <c r="O187" s="11"/>
      <c r="P187" s="6">
        <v>476.44</v>
      </c>
      <c r="Q187" s="2"/>
      <c r="R187" s="7">
        <f t="shared" si="89"/>
        <v>1.8873436404780698E-4</v>
      </c>
      <c r="S187" s="2"/>
      <c r="T187" s="6">
        <v>8000</v>
      </c>
      <c r="U187" s="2"/>
      <c r="V187" s="7">
        <f t="shared" si="90"/>
        <v>2.597195159087943E-3</v>
      </c>
      <c r="W187" s="2"/>
      <c r="X187" s="6">
        <f t="shared" si="91"/>
        <v>-7523.56</v>
      </c>
      <c r="Y187" s="2"/>
      <c r="Z187" s="7">
        <f t="shared" si="92"/>
        <v>-0.94044500000000009</v>
      </c>
    </row>
    <row r="188" spans="1:26" s="24" customFormat="1" hidden="1" outlineLevel="2" x14ac:dyDescent="0.25">
      <c r="A188" s="27"/>
      <c r="B188" s="11" t="str">
        <f>CONCATENATE("          ", "6283", " - ", "PLANT SERVICE")</f>
        <v xml:space="preserve">          6283 - PLANT SERVICE</v>
      </c>
      <c r="C188" s="11"/>
      <c r="D188" s="6"/>
      <c r="E188" s="2"/>
      <c r="F188" s="7">
        <f t="shared" si="85"/>
        <v>0</v>
      </c>
      <c r="G188" s="2"/>
      <c r="H188" s="6">
        <v>0</v>
      </c>
      <c r="I188" s="2"/>
      <c r="J188" s="7">
        <f t="shared" si="86"/>
        <v>0</v>
      </c>
      <c r="K188" s="2"/>
      <c r="L188" s="6">
        <f t="shared" si="87"/>
        <v>0</v>
      </c>
      <c r="M188" s="2"/>
      <c r="N188" s="7">
        <f t="shared" si="88"/>
        <v>0</v>
      </c>
      <c r="O188" s="11"/>
      <c r="P188" s="6">
        <v>130</v>
      </c>
      <c r="Q188" s="2"/>
      <c r="R188" s="7">
        <f t="shared" si="89"/>
        <v>5.1497496696782193E-5</v>
      </c>
      <c r="S188" s="2"/>
      <c r="T188" s="6">
        <v>0</v>
      </c>
      <c r="U188" s="2"/>
      <c r="V188" s="7">
        <f t="shared" si="90"/>
        <v>0</v>
      </c>
      <c r="W188" s="2"/>
      <c r="X188" s="6">
        <f t="shared" si="91"/>
        <v>130</v>
      </c>
      <c r="Y188" s="2"/>
      <c r="Z188" s="7">
        <f t="shared" si="92"/>
        <v>0</v>
      </c>
    </row>
    <row r="189" spans="1:26" s="24" customFormat="1" hidden="1" outlineLevel="2" x14ac:dyDescent="0.25">
      <c r="A189" s="27"/>
      <c r="B189" s="11" t="str">
        <f>CONCATENATE("          ", "6284", " - ", "TRASH REMOVAL EXPENSE")</f>
        <v xml:space="preserve">          6284 - TRASH REMOVAL EXPENSE</v>
      </c>
      <c r="C189" s="11"/>
      <c r="D189" s="6">
        <v>142.57</v>
      </c>
      <c r="E189" s="2"/>
      <c r="F189" s="7">
        <f t="shared" si="85"/>
        <v>6.8255799757351723E-5</v>
      </c>
      <c r="G189" s="2"/>
      <c r="H189" s="6">
        <v>55</v>
      </c>
      <c r="I189" s="2"/>
      <c r="J189" s="7">
        <f t="shared" si="86"/>
        <v>2.249533835238416E-5</v>
      </c>
      <c r="K189" s="2"/>
      <c r="L189" s="6">
        <f t="shared" si="87"/>
        <v>87.57</v>
      </c>
      <c r="M189" s="2"/>
      <c r="N189" s="7">
        <f t="shared" si="88"/>
        <v>1.5921818181818181</v>
      </c>
      <c r="O189" s="11"/>
      <c r="P189" s="6">
        <v>285.14</v>
      </c>
      <c r="Q189" s="2"/>
      <c r="R189" s="7">
        <f t="shared" si="89"/>
        <v>1.129538169855421E-4</v>
      </c>
      <c r="S189" s="2"/>
      <c r="T189" s="6">
        <v>110</v>
      </c>
      <c r="U189" s="2"/>
      <c r="V189" s="7">
        <f t="shared" si="90"/>
        <v>3.5711433437459214E-5</v>
      </c>
      <c r="W189" s="2"/>
      <c r="X189" s="6">
        <f t="shared" si="91"/>
        <v>175.14</v>
      </c>
      <c r="Y189" s="2"/>
      <c r="Z189" s="7">
        <f t="shared" si="92"/>
        <v>1.5921818181818181</v>
      </c>
    </row>
    <row r="190" spans="1:26" s="24" customFormat="1" hidden="1" outlineLevel="2" x14ac:dyDescent="0.25">
      <c r="A190" s="27"/>
      <c r="B190" s="11" t="str">
        <f>CONCATENATE("          ", "6285", " - ", "JANITORIAL SERVICES")</f>
        <v xml:space="preserve">          6285 - JANITORIAL SERVICES</v>
      </c>
      <c r="C190" s="11"/>
      <c r="D190" s="6">
        <v>-60.73</v>
      </c>
      <c r="E190" s="2"/>
      <c r="F190" s="7">
        <f t="shared" si="85"/>
        <v>-2.9074663107694256E-5</v>
      </c>
      <c r="G190" s="2"/>
      <c r="H190" s="6">
        <v>674</v>
      </c>
      <c r="I190" s="2"/>
      <c r="J190" s="7">
        <f t="shared" si="86"/>
        <v>2.7567014635467132E-4</v>
      </c>
      <c r="K190" s="2"/>
      <c r="L190" s="6">
        <f t="shared" si="87"/>
        <v>-734.73</v>
      </c>
      <c r="M190" s="2"/>
      <c r="N190" s="7">
        <f t="shared" si="88"/>
        <v>-1.0901038575667656</v>
      </c>
      <c r="O190" s="11"/>
      <c r="P190" s="6">
        <v>3413.94</v>
      </c>
      <c r="Q190" s="2"/>
      <c r="R190" s="7">
        <f t="shared" si="89"/>
        <v>1.3523797221000969E-3</v>
      </c>
      <c r="S190" s="2"/>
      <c r="T190" s="6">
        <v>1074</v>
      </c>
      <c r="U190" s="2"/>
      <c r="V190" s="7">
        <f t="shared" si="90"/>
        <v>3.4867345010755634E-4</v>
      </c>
      <c r="W190" s="2"/>
      <c r="X190" s="6">
        <f t="shared" si="91"/>
        <v>2339.94</v>
      </c>
      <c r="Y190" s="2"/>
      <c r="Z190" s="7">
        <f t="shared" si="92"/>
        <v>2.1787150837988829</v>
      </c>
    </row>
    <row r="191" spans="1:26" s="29" customFormat="1" outlineLevel="1" collapsed="1" x14ac:dyDescent="0.25">
      <c r="A191" s="28"/>
      <c r="B191" s="14" t="str">
        <f>CONCATENATE("     ","Subscriptions &amp; Dues                              ")</f>
        <v xml:space="preserve">     Subscriptions &amp; Dues                              </v>
      </c>
      <c r="C191" s="14"/>
      <c r="D191" s="1">
        <f>SUM(OSRRefD22_19x_0)</f>
        <v>270</v>
      </c>
      <c r="E191" s="1"/>
      <c r="F191" s="5">
        <f t="shared" ref="F191:F193" si="93">IF(D$12=0,0,D191/D$12)</f>
        <v>1.2926328073567346E-4</v>
      </c>
      <c r="G191" s="1"/>
      <c r="H191" s="1">
        <f>SUM(OSRRefH22_19x_0)</f>
        <v>1100</v>
      </c>
      <c r="I191" s="1"/>
      <c r="J191" s="5">
        <f t="shared" ref="J191:J193" si="94">IF(H$12=0,0,H191/H$12)</f>
        <v>4.4990676704768315E-4</v>
      </c>
      <c r="K191" s="1"/>
      <c r="L191" s="1">
        <f t="shared" ref="L191:L193" si="95">+D191-H191</f>
        <v>-830</v>
      </c>
      <c r="M191" s="1"/>
      <c r="N191" s="5">
        <f t="shared" ref="N191:N193" si="96">IF(H191=0,0,L191/H191)</f>
        <v>-0.75454545454545452</v>
      </c>
      <c r="O191" s="14"/>
      <c r="P191" s="1">
        <f>SUM(OSRRefP22_19x_0)</f>
        <v>635</v>
      </c>
      <c r="Q191" s="1"/>
      <c r="R191" s="5">
        <f t="shared" ref="R191:R193" si="97">IF(P$12=0,0,P191/P$12)</f>
        <v>2.5154546463428221E-4</v>
      </c>
      <c r="S191" s="1"/>
      <c r="T191" s="1">
        <f>SUM(OSRRefT22_19x_0)</f>
        <v>3595</v>
      </c>
      <c r="U191" s="1"/>
      <c r="V191" s="5">
        <f t="shared" ref="V191:V193" si="98">IF(T$12=0,0,T191/T$12)</f>
        <v>1.1671145746151444E-3</v>
      </c>
      <c r="W191" s="1"/>
      <c r="X191" s="1">
        <f t="shared" ref="X191:X193" si="99">+P191-T191</f>
        <v>-2960</v>
      </c>
      <c r="Y191" s="1"/>
      <c r="Z191" s="5">
        <f t="shared" ref="Z191:Z193" si="100">IF(T191=0,0,X191/T191)</f>
        <v>-0.82336578581363007</v>
      </c>
    </row>
    <row r="192" spans="1:26" s="24" customFormat="1" hidden="1" outlineLevel="2" x14ac:dyDescent="0.25">
      <c r="A192" s="27"/>
      <c r="B192" s="11" t="str">
        <f>CONCATENATE("          ", "6258", " - ", "MEMBERSHIP DUES")</f>
        <v xml:space="preserve">          6258 - MEMBERSHIP DUES</v>
      </c>
      <c r="C192" s="11"/>
      <c r="D192" s="6">
        <v>270</v>
      </c>
      <c r="E192" s="2"/>
      <c r="F192" s="7">
        <f t="shared" si="93"/>
        <v>1.2926328073567346E-4</v>
      </c>
      <c r="G192" s="2"/>
      <c r="H192" s="6">
        <v>1100</v>
      </c>
      <c r="I192" s="2"/>
      <c r="J192" s="7">
        <f t="shared" si="94"/>
        <v>4.4990676704768315E-4</v>
      </c>
      <c r="K192" s="2"/>
      <c r="L192" s="6">
        <f t="shared" si="95"/>
        <v>-830</v>
      </c>
      <c r="M192" s="2"/>
      <c r="N192" s="7">
        <f t="shared" si="96"/>
        <v>-0.75454545454545452</v>
      </c>
      <c r="O192" s="11"/>
      <c r="P192" s="6">
        <v>560</v>
      </c>
      <c r="Q192" s="2"/>
      <c r="R192" s="7">
        <f t="shared" si="97"/>
        <v>2.2183537038613865E-4</v>
      </c>
      <c r="S192" s="2"/>
      <c r="T192" s="6">
        <v>3595</v>
      </c>
      <c r="U192" s="2"/>
      <c r="V192" s="7">
        <f t="shared" si="98"/>
        <v>1.1671145746151444E-3</v>
      </c>
      <c r="W192" s="2"/>
      <c r="X192" s="6">
        <f t="shared" si="99"/>
        <v>-3035</v>
      </c>
      <c r="Y192" s="2"/>
      <c r="Z192" s="7">
        <f t="shared" si="100"/>
        <v>-0.84422809457579973</v>
      </c>
    </row>
    <row r="193" spans="1:26" s="24" customFormat="1" hidden="1" outlineLevel="2" x14ac:dyDescent="0.25">
      <c r="A193" s="27"/>
      <c r="B193" s="11" t="str">
        <f>CONCATENATE("          ", "6275", " - ", "SUBSCRIPTIONS")</f>
        <v xml:space="preserve">          6275 - SUBSCRIPTIONS</v>
      </c>
      <c r="C193" s="11"/>
      <c r="D193" s="6"/>
      <c r="E193" s="2"/>
      <c r="F193" s="7">
        <f t="shared" si="93"/>
        <v>0</v>
      </c>
      <c r="G193" s="2"/>
      <c r="H193" s="6">
        <v>0</v>
      </c>
      <c r="I193" s="2"/>
      <c r="J193" s="7">
        <f t="shared" si="94"/>
        <v>0</v>
      </c>
      <c r="K193" s="2"/>
      <c r="L193" s="6">
        <f t="shared" si="95"/>
        <v>0</v>
      </c>
      <c r="M193" s="2"/>
      <c r="N193" s="7">
        <f t="shared" si="96"/>
        <v>0</v>
      </c>
      <c r="O193" s="11"/>
      <c r="P193" s="6">
        <v>75</v>
      </c>
      <c r="Q193" s="2"/>
      <c r="R193" s="7">
        <f t="shared" si="97"/>
        <v>2.9710094248143569E-5</v>
      </c>
      <c r="S193" s="2"/>
      <c r="T193" s="6">
        <v>0</v>
      </c>
      <c r="U193" s="2"/>
      <c r="V193" s="7">
        <f t="shared" si="98"/>
        <v>0</v>
      </c>
      <c r="W193" s="2"/>
      <c r="X193" s="6">
        <f t="shared" si="99"/>
        <v>75</v>
      </c>
      <c r="Y193" s="2"/>
      <c r="Z193" s="7">
        <f t="shared" si="100"/>
        <v>0</v>
      </c>
    </row>
    <row r="194" spans="1:26" s="29" customFormat="1" outlineLevel="1" collapsed="1" x14ac:dyDescent="0.25">
      <c r="A194" s="28"/>
      <c r="B194" s="14" t="str">
        <f>CONCATENATE("     ","Supplies                                          ")</f>
        <v xml:space="preserve">     Supplies                                          </v>
      </c>
      <c r="C194" s="14"/>
      <c r="D194" s="1">
        <f>SUM(OSRRefD22_20x_0)</f>
        <v>8805.4500000000007</v>
      </c>
      <c r="E194" s="1"/>
      <c r="F194" s="5">
        <f t="shared" ref="F194:F203" si="101">IF(D$12=0,0,D194/D$12)</f>
        <v>4.2156346494590224E-3</v>
      </c>
      <c r="G194" s="1"/>
      <c r="H194" s="1">
        <f>SUM(OSRRefH22_20x_0)</f>
        <v>38720</v>
      </c>
      <c r="I194" s="1"/>
      <c r="J194" s="5">
        <f t="shared" ref="J194:J203" si="102">IF(H$12=0,0,H194/H$12)</f>
        <v>1.5836718200078446E-2</v>
      </c>
      <c r="K194" s="1"/>
      <c r="L194" s="1">
        <f t="shared" ref="L194:L203" si="103">+D194-H194</f>
        <v>-29914.55</v>
      </c>
      <c r="M194" s="1"/>
      <c r="N194" s="5">
        <f t="shared" ref="N194:N203" si="104">IF(H194=0,0,L194/H194)</f>
        <v>-0.77258651859504135</v>
      </c>
      <c r="O194" s="14"/>
      <c r="P194" s="1">
        <f>SUM(OSRRefP22_20x_0)</f>
        <v>20993.49</v>
      </c>
      <c r="Q194" s="1"/>
      <c r="R194" s="5">
        <f t="shared" ref="R194:R203" si="105">IF(P$12=0,0,P194/P$12)</f>
        <v>8.3162475532994624E-3</v>
      </c>
      <c r="S194" s="1"/>
      <c r="T194" s="1">
        <f>SUM(OSRRefT22_20x_0)</f>
        <v>45415</v>
      </c>
      <c r="U194" s="1"/>
      <c r="V194" s="5">
        <f t="shared" ref="V194:V203" si="106">IF(T$12=0,0,T194/T$12)</f>
        <v>1.4743952268747366E-2</v>
      </c>
      <c r="W194" s="1"/>
      <c r="X194" s="1">
        <f t="shared" ref="X194:X203" si="107">+P194-T194</f>
        <v>-24421.51</v>
      </c>
      <c r="Y194" s="1"/>
      <c r="Z194" s="5">
        <f t="shared" ref="Z194:Z203" si="108">IF(T194=0,0,X194/T194)</f>
        <v>-0.53774105471760425</v>
      </c>
    </row>
    <row r="195" spans="1:26" s="24" customFormat="1" hidden="1" outlineLevel="2" x14ac:dyDescent="0.25">
      <c r="A195" s="27"/>
      <c r="B195" s="11" t="str">
        <f>CONCATENATE("          ", "6234", " - ", "EXPENDABLE SUPPLIES &amp; EQUIPMEN")</f>
        <v xml:space="preserve">          6234 - EXPENDABLE SUPPLIES &amp; EQUIPMEN</v>
      </c>
      <c r="C195" s="11"/>
      <c r="D195" s="6"/>
      <c r="E195" s="2"/>
      <c r="F195" s="7">
        <f t="shared" si="101"/>
        <v>0</v>
      </c>
      <c r="G195" s="2"/>
      <c r="H195" s="6">
        <v>150</v>
      </c>
      <c r="I195" s="2"/>
      <c r="J195" s="7">
        <f t="shared" si="102"/>
        <v>6.1350922779229521E-5</v>
      </c>
      <c r="K195" s="2"/>
      <c r="L195" s="6">
        <f t="shared" si="103"/>
        <v>-150</v>
      </c>
      <c r="M195" s="2"/>
      <c r="N195" s="7">
        <f t="shared" si="104"/>
        <v>-1</v>
      </c>
      <c r="O195" s="11"/>
      <c r="P195" s="6"/>
      <c r="Q195" s="2"/>
      <c r="R195" s="7">
        <f t="shared" si="105"/>
        <v>0</v>
      </c>
      <c r="S195" s="2"/>
      <c r="T195" s="6">
        <v>300</v>
      </c>
      <c r="U195" s="2"/>
      <c r="V195" s="7">
        <f t="shared" si="106"/>
        <v>9.7394818465797858E-5</v>
      </c>
      <c r="W195" s="2"/>
      <c r="X195" s="6">
        <f t="shared" si="107"/>
        <v>-300</v>
      </c>
      <c r="Y195" s="2"/>
      <c r="Z195" s="7">
        <f t="shared" si="108"/>
        <v>-1</v>
      </c>
    </row>
    <row r="196" spans="1:26" s="24" customFormat="1" hidden="1" outlineLevel="2" x14ac:dyDescent="0.25">
      <c r="A196" s="27"/>
      <c r="B196" s="11" t="str">
        <f>CONCATENATE("          ", "6235", " - ", "COVID-19 EXPENSES")</f>
        <v xml:space="preserve">          6235 - COVID-19 EXPENSES</v>
      </c>
      <c r="C196" s="11"/>
      <c r="D196" s="6">
        <v>621.78</v>
      </c>
      <c r="E196" s="2"/>
      <c r="F196" s="7">
        <f t="shared" si="101"/>
        <v>2.9767897294750756E-4</v>
      </c>
      <c r="G196" s="2"/>
      <c r="H196" s="6">
        <v>30400</v>
      </c>
      <c r="I196" s="2"/>
      <c r="J196" s="7">
        <f t="shared" si="102"/>
        <v>1.2433787016590517E-2</v>
      </c>
      <c r="K196" s="2"/>
      <c r="L196" s="6">
        <f t="shared" si="103"/>
        <v>-29778.22</v>
      </c>
      <c r="M196" s="2"/>
      <c r="N196" s="7">
        <f t="shared" si="104"/>
        <v>-0.97954671052631581</v>
      </c>
      <c r="O196" s="11"/>
      <c r="P196" s="6">
        <v>7302.01</v>
      </c>
      <c r="Q196" s="2"/>
      <c r="R196" s="7">
        <f t="shared" si="105"/>
        <v>2.8925787373451578E-3</v>
      </c>
      <c r="S196" s="2"/>
      <c r="T196" s="6">
        <v>30700</v>
      </c>
      <c r="U196" s="2"/>
      <c r="V196" s="7">
        <f t="shared" si="106"/>
        <v>9.9667364229999809E-3</v>
      </c>
      <c r="W196" s="2"/>
      <c r="X196" s="6">
        <f t="shared" si="107"/>
        <v>-23397.989999999998</v>
      </c>
      <c r="Y196" s="2"/>
      <c r="Z196" s="7">
        <f t="shared" si="108"/>
        <v>-0.76214951140065135</v>
      </c>
    </row>
    <row r="197" spans="1:26" s="24" customFormat="1" hidden="1" outlineLevel="2" x14ac:dyDescent="0.25">
      <c r="A197" s="27"/>
      <c r="B197" s="11" t="str">
        <f>CONCATENATE("          ", "6237", " - ", "JANITORIAL SUPPLIES")</f>
        <v xml:space="preserve">          6237 - JANITORIAL SUPPLIES</v>
      </c>
      <c r="C197" s="11"/>
      <c r="D197" s="6"/>
      <c r="E197" s="2"/>
      <c r="F197" s="7">
        <f t="shared" si="101"/>
        <v>0</v>
      </c>
      <c r="G197" s="2"/>
      <c r="H197" s="6">
        <v>260</v>
      </c>
      <c r="I197" s="2"/>
      <c r="J197" s="7">
        <f t="shared" si="102"/>
        <v>1.0634159948399783E-4</v>
      </c>
      <c r="K197" s="2"/>
      <c r="L197" s="6">
        <f t="shared" si="103"/>
        <v>-260</v>
      </c>
      <c r="M197" s="2"/>
      <c r="N197" s="7">
        <f t="shared" si="104"/>
        <v>-1</v>
      </c>
      <c r="O197" s="11"/>
      <c r="P197" s="6">
        <v>139.31</v>
      </c>
      <c r="Q197" s="2"/>
      <c r="R197" s="7">
        <f t="shared" si="105"/>
        <v>5.5185509729451743E-5</v>
      </c>
      <c r="S197" s="2"/>
      <c r="T197" s="6">
        <v>520</v>
      </c>
      <c r="U197" s="2"/>
      <c r="V197" s="7">
        <f t="shared" si="106"/>
        <v>1.6881768534071629E-4</v>
      </c>
      <c r="W197" s="2"/>
      <c r="X197" s="6">
        <f t="shared" si="107"/>
        <v>-380.69</v>
      </c>
      <c r="Y197" s="2"/>
      <c r="Z197" s="7">
        <f t="shared" si="108"/>
        <v>-0.7320961538461539</v>
      </c>
    </row>
    <row r="198" spans="1:26" s="24" customFormat="1" hidden="1" outlineLevel="2" x14ac:dyDescent="0.25">
      <c r="A198" s="27"/>
      <c r="B198" s="11" t="str">
        <f>CONCATENATE("          ", "6241", " - ", "OFFICE EXPENSE")</f>
        <v xml:space="preserve">          6241 - OFFICE EXPENSE</v>
      </c>
      <c r="C198" s="11"/>
      <c r="D198" s="6">
        <v>3080.94</v>
      </c>
      <c r="E198" s="2"/>
      <c r="F198" s="7">
        <f t="shared" si="101"/>
        <v>1.4750089338880215E-3</v>
      </c>
      <c r="G198" s="2"/>
      <c r="H198" s="6">
        <v>835</v>
      </c>
      <c r="I198" s="2"/>
      <c r="J198" s="7">
        <f t="shared" si="102"/>
        <v>3.4152013680437766E-4</v>
      </c>
      <c r="K198" s="2"/>
      <c r="L198" s="6">
        <f t="shared" si="103"/>
        <v>2245.94</v>
      </c>
      <c r="M198" s="2"/>
      <c r="N198" s="7">
        <f t="shared" si="104"/>
        <v>2.689748502994012</v>
      </c>
      <c r="O198" s="11"/>
      <c r="P198" s="6">
        <v>3511.35</v>
      </c>
      <c r="Q198" s="2"/>
      <c r="R198" s="7">
        <f t="shared" si="105"/>
        <v>1.3909671925095856E-3</v>
      </c>
      <c r="S198" s="2"/>
      <c r="T198" s="6">
        <v>1370</v>
      </c>
      <c r="U198" s="2"/>
      <c r="V198" s="7">
        <f t="shared" si="106"/>
        <v>4.4476967099381023E-4</v>
      </c>
      <c r="W198" s="2"/>
      <c r="X198" s="6">
        <f t="shared" si="107"/>
        <v>2141.35</v>
      </c>
      <c r="Y198" s="2"/>
      <c r="Z198" s="7">
        <f t="shared" si="108"/>
        <v>1.5630291970802919</v>
      </c>
    </row>
    <row r="199" spans="1:26" s="24" customFormat="1" hidden="1" outlineLevel="2" x14ac:dyDescent="0.25">
      <c r="A199" s="27"/>
      <c r="B199" s="11" t="str">
        <f>CONCATENATE("          ", "6243", " - ", "PAPER SUPPLIES")</f>
        <v xml:space="preserve">          6243 - PAPER SUPPLIES</v>
      </c>
      <c r="C199" s="11"/>
      <c r="D199" s="6">
        <v>2044.69</v>
      </c>
      <c r="E199" s="2"/>
      <c r="F199" s="7">
        <f t="shared" si="101"/>
        <v>9.7890124995342288E-4</v>
      </c>
      <c r="G199" s="2"/>
      <c r="H199" s="6">
        <v>1550</v>
      </c>
      <c r="I199" s="2"/>
      <c r="J199" s="7">
        <f t="shared" si="102"/>
        <v>6.3395953538537169E-4</v>
      </c>
      <c r="K199" s="2"/>
      <c r="L199" s="6">
        <f t="shared" si="103"/>
        <v>494.69000000000005</v>
      </c>
      <c r="M199" s="2"/>
      <c r="N199" s="7">
        <f t="shared" si="104"/>
        <v>0.31915483870967748</v>
      </c>
      <c r="O199" s="11"/>
      <c r="P199" s="6">
        <v>3124.69</v>
      </c>
      <c r="Q199" s="2"/>
      <c r="R199" s="7">
        <f t="shared" si="105"/>
        <v>1.2377977919497565E-3</v>
      </c>
      <c r="S199" s="2"/>
      <c r="T199" s="6">
        <v>2300</v>
      </c>
      <c r="U199" s="2"/>
      <c r="V199" s="7">
        <f t="shared" si="106"/>
        <v>7.4669360823778359E-4</v>
      </c>
      <c r="W199" s="2"/>
      <c r="X199" s="6">
        <f t="shared" si="107"/>
        <v>824.69</v>
      </c>
      <c r="Y199" s="2"/>
      <c r="Z199" s="7">
        <f t="shared" si="108"/>
        <v>0.35856086956521743</v>
      </c>
    </row>
    <row r="200" spans="1:26" s="24" customFormat="1" hidden="1" outlineLevel="2" x14ac:dyDescent="0.25">
      <c r="A200" s="27"/>
      <c r="B200" s="11" t="str">
        <f>CONCATENATE("          ", "6244", " - ", "SAFETY SUPPLY EXPENSE")</f>
        <v xml:space="preserve">          6244 - SAFETY SUPPLY EXPENSE</v>
      </c>
      <c r="C200" s="11"/>
      <c r="D200" s="6"/>
      <c r="E200" s="2"/>
      <c r="F200" s="7">
        <f t="shared" si="101"/>
        <v>0</v>
      </c>
      <c r="G200" s="2"/>
      <c r="H200" s="6">
        <v>0</v>
      </c>
      <c r="I200" s="2"/>
      <c r="J200" s="7">
        <f t="shared" si="102"/>
        <v>0</v>
      </c>
      <c r="K200" s="2"/>
      <c r="L200" s="6">
        <f t="shared" si="103"/>
        <v>0</v>
      </c>
      <c r="M200" s="2"/>
      <c r="N200" s="7">
        <f t="shared" si="104"/>
        <v>0</v>
      </c>
      <c r="O200" s="11"/>
      <c r="P200" s="6"/>
      <c r="Q200" s="2"/>
      <c r="R200" s="7">
        <f t="shared" si="105"/>
        <v>0</v>
      </c>
      <c r="S200" s="2"/>
      <c r="T200" s="6">
        <v>25</v>
      </c>
      <c r="U200" s="2"/>
      <c r="V200" s="7">
        <f t="shared" si="106"/>
        <v>8.1162348721498221E-6</v>
      </c>
      <c r="W200" s="2"/>
      <c r="X200" s="6">
        <f t="shared" si="107"/>
        <v>-25</v>
      </c>
      <c r="Y200" s="2"/>
      <c r="Z200" s="7">
        <f t="shared" si="108"/>
        <v>-1</v>
      </c>
    </row>
    <row r="201" spans="1:26" s="24" customFormat="1" hidden="1" outlineLevel="2" x14ac:dyDescent="0.25">
      <c r="A201" s="27"/>
      <c r="B201" s="11" t="str">
        <f>CONCATENATE("          ", "6245", " - ", "PRINTING")</f>
        <v xml:space="preserve">          6245 - PRINTING</v>
      </c>
      <c r="C201" s="11"/>
      <c r="D201" s="6">
        <v>1248</v>
      </c>
      <c r="E201" s="2"/>
      <c r="F201" s="7">
        <f t="shared" si="101"/>
        <v>5.9748360873377964E-4</v>
      </c>
      <c r="G201" s="2"/>
      <c r="H201" s="6">
        <v>750</v>
      </c>
      <c r="I201" s="2"/>
      <c r="J201" s="7">
        <f t="shared" si="102"/>
        <v>3.0675461389614763E-4</v>
      </c>
      <c r="K201" s="2"/>
      <c r="L201" s="6">
        <f t="shared" si="103"/>
        <v>498</v>
      </c>
      <c r="M201" s="2"/>
      <c r="N201" s="7">
        <f t="shared" si="104"/>
        <v>0.66400000000000003</v>
      </c>
      <c r="O201" s="11"/>
      <c r="P201" s="6">
        <v>-295.5</v>
      </c>
      <c r="Q201" s="2"/>
      <c r="R201" s="7">
        <f t="shared" si="105"/>
        <v>-1.1705777133768567E-4</v>
      </c>
      <c r="S201" s="2"/>
      <c r="T201" s="6">
        <v>1100</v>
      </c>
      <c r="U201" s="2"/>
      <c r="V201" s="7">
        <f t="shared" si="106"/>
        <v>3.5711433437459215E-4</v>
      </c>
      <c r="W201" s="2"/>
      <c r="X201" s="6">
        <f t="shared" si="107"/>
        <v>-1395.5</v>
      </c>
      <c r="Y201" s="2"/>
      <c r="Z201" s="7">
        <f t="shared" si="108"/>
        <v>-1.2686363636363636</v>
      </c>
    </row>
    <row r="202" spans="1:26" s="24" customFormat="1" hidden="1" outlineLevel="2" x14ac:dyDescent="0.25">
      <c r="A202" s="27"/>
      <c r="B202" s="11" t="str">
        <f>CONCATENATE("          ", "6247", " - ", "STORE SUPPLIES")</f>
        <v xml:space="preserve">          6247 - STORE SUPPLIES</v>
      </c>
      <c r="C202" s="11"/>
      <c r="D202" s="6">
        <v>1810.04</v>
      </c>
      <c r="E202" s="2"/>
      <c r="F202" s="7">
        <f t="shared" si="101"/>
        <v>8.6656188393629033E-4</v>
      </c>
      <c r="G202" s="2"/>
      <c r="H202" s="6">
        <v>3175</v>
      </c>
      <c r="I202" s="2"/>
      <c r="J202" s="7">
        <f t="shared" si="102"/>
        <v>1.2985945321603582E-3</v>
      </c>
      <c r="K202" s="2"/>
      <c r="L202" s="6">
        <f t="shared" si="103"/>
        <v>-1364.96</v>
      </c>
      <c r="M202" s="2"/>
      <c r="N202" s="7">
        <f t="shared" si="104"/>
        <v>-0.42990866141732287</v>
      </c>
      <c r="O202" s="11"/>
      <c r="P202" s="6">
        <v>7211.63</v>
      </c>
      <c r="Q202" s="2"/>
      <c r="R202" s="7">
        <f t="shared" si="105"/>
        <v>2.856776093103195E-3</v>
      </c>
      <c r="S202" s="2"/>
      <c r="T202" s="6">
        <v>6000</v>
      </c>
      <c r="U202" s="2"/>
      <c r="V202" s="7">
        <f t="shared" si="106"/>
        <v>1.9478963693159573E-3</v>
      </c>
      <c r="W202" s="2"/>
      <c r="X202" s="6">
        <f t="shared" si="107"/>
        <v>1211.6300000000001</v>
      </c>
      <c r="Y202" s="2"/>
      <c r="Z202" s="7">
        <f t="shared" si="108"/>
        <v>0.20193833333333336</v>
      </c>
    </row>
    <row r="203" spans="1:26" s="24" customFormat="1" hidden="1" outlineLevel="2" x14ac:dyDescent="0.25">
      <c r="A203" s="27"/>
      <c r="B203" s="11" t="str">
        <f>CONCATENATE("          ", "6248", " - ", "UNIFORMS")</f>
        <v xml:space="preserve">          6248 - UNIFORMS</v>
      </c>
      <c r="C203" s="11"/>
      <c r="D203" s="6"/>
      <c r="E203" s="2"/>
      <c r="F203" s="7">
        <f t="shared" si="101"/>
        <v>0</v>
      </c>
      <c r="G203" s="2"/>
      <c r="H203" s="6">
        <v>1600</v>
      </c>
      <c r="I203" s="2"/>
      <c r="J203" s="7">
        <f t="shared" si="102"/>
        <v>6.5440984297844822E-4</v>
      </c>
      <c r="K203" s="2"/>
      <c r="L203" s="6">
        <f t="shared" si="103"/>
        <v>-1600</v>
      </c>
      <c r="M203" s="2"/>
      <c r="N203" s="7">
        <f t="shared" si="104"/>
        <v>-1</v>
      </c>
      <c r="O203" s="11"/>
      <c r="P203" s="6"/>
      <c r="Q203" s="2"/>
      <c r="R203" s="7">
        <f t="shared" si="105"/>
        <v>0</v>
      </c>
      <c r="S203" s="2"/>
      <c r="T203" s="6">
        <v>3100</v>
      </c>
      <c r="U203" s="2"/>
      <c r="V203" s="7">
        <f t="shared" si="106"/>
        <v>1.0064131241465778E-3</v>
      </c>
      <c r="W203" s="2"/>
      <c r="X203" s="6">
        <f t="shared" si="107"/>
        <v>-3100</v>
      </c>
      <c r="Y203" s="2"/>
      <c r="Z203" s="7">
        <f t="shared" si="108"/>
        <v>-1</v>
      </c>
    </row>
    <row r="204" spans="1:26" s="29" customFormat="1" outlineLevel="1" collapsed="1" x14ac:dyDescent="0.25">
      <c r="A204" s="28"/>
      <c r="B204" s="14" t="str">
        <f>CONCATENATE("     ","Telephone/Data Lines                              ")</f>
        <v xml:space="preserve">     Telephone/Data Lines                              </v>
      </c>
      <c r="C204" s="14"/>
      <c r="D204" s="1">
        <f>SUM(OSRRefD22_21x_0)</f>
        <v>2403.75</v>
      </c>
      <c r="E204" s="1"/>
      <c r="F204" s="5">
        <f t="shared" ref="F204:F206" si="109">IF(D$12=0,0,D204/D$12)</f>
        <v>1.1508022632162041E-3</v>
      </c>
      <c r="G204" s="1"/>
      <c r="H204" s="1">
        <f>SUM(OSRRefH22_21x_0)</f>
        <v>2945</v>
      </c>
      <c r="I204" s="1"/>
      <c r="J204" s="5">
        <f t="shared" ref="J204:J206" si="110">IF(H$12=0,0,H204/H$12)</f>
        <v>1.2045231172322062E-3</v>
      </c>
      <c r="K204" s="1"/>
      <c r="L204" s="1">
        <f t="shared" ref="L204:L206" si="111">+D204-H204</f>
        <v>-541.25</v>
      </c>
      <c r="M204" s="1"/>
      <c r="N204" s="5">
        <f t="shared" ref="N204:N206" si="112">IF(H204=0,0,L204/H204)</f>
        <v>-0.183786078098472</v>
      </c>
      <c r="O204" s="14"/>
      <c r="P204" s="1">
        <f>SUM(OSRRefP22_21x_0)</f>
        <v>5081.8</v>
      </c>
      <c r="Q204" s="1"/>
      <c r="R204" s="5">
        <f t="shared" ref="R204:R206" si="113">IF(P$12=0,0,P204/P$12)</f>
        <v>2.0130767593362132E-3</v>
      </c>
      <c r="S204" s="1"/>
      <c r="T204" s="1">
        <f>SUM(OSRRefT22_21x_0)</f>
        <v>5500</v>
      </c>
      <c r="U204" s="1"/>
      <c r="V204" s="5">
        <f t="shared" ref="V204:V206" si="114">IF(T$12=0,0,T204/T$12)</f>
        <v>1.7855716718729608E-3</v>
      </c>
      <c r="W204" s="1"/>
      <c r="X204" s="1">
        <f t="shared" ref="X204:X206" si="115">+P204-T204</f>
        <v>-418.19999999999982</v>
      </c>
      <c r="Y204" s="1"/>
      <c r="Z204" s="5">
        <f t="shared" ref="Z204:Z206" si="116">IF(T204=0,0,X204/T204)</f>
        <v>-7.6036363636363596E-2</v>
      </c>
    </row>
    <row r="205" spans="1:26" s="24" customFormat="1" hidden="1" outlineLevel="2" x14ac:dyDescent="0.25">
      <c r="A205" s="27"/>
      <c r="B205" s="11" t="str">
        <f>CONCATENATE("          ", "6303", " - ", "DATA PHONE LINES")</f>
        <v xml:space="preserve">          6303 - DATA PHONE LINES</v>
      </c>
      <c r="C205" s="11"/>
      <c r="D205" s="6"/>
      <c r="E205" s="2"/>
      <c r="F205" s="7">
        <f t="shared" si="109"/>
        <v>0</v>
      </c>
      <c r="G205" s="2"/>
      <c r="H205" s="6">
        <v>630</v>
      </c>
      <c r="I205" s="2"/>
      <c r="J205" s="7">
        <f t="shared" si="110"/>
        <v>2.5767387567276399E-4</v>
      </c>
      <c r="K205" s="2"/>
      <c r="L205" s="6">
        <f t="shared" si="111"/>
        <v>-630</v>
      </c>
      <c r="M205" s="2"/>
      <c r="N205" s="7">
        <f t="shared" si="112"/>
        <v>-1</v>
      </c>
      <c r="O205" s="11"/>
      <c r="P205" s="6">
        <v>295</v>
      </c>
      <c r="Q205" s="2"/>
      <c r="R205" s="7">
        <f t="shared" si="113"/>
        <v>1.1685970404269804E-4</v>
      </c>
      <c r="S205" s="2"/>
      <c r="T205" s="6">
        <v>1260</v>
      </c>
      <c r="U205" s="2"/>
      <c r="V205" s="7">
        <f t="shared" si="114"/>
        <v>4.0905823755635101E-4</v>
      </c>
      <c r="W205" s="2"/>
      <c r="X205" s="6">
        <f t="shared" si="115"/>
        <v>-965</v>
      </c>
      <c r="Y205" s="2"/>
      <c r="Z205" s="7">
        <f t="shared" si="116"/>
        <v>-0.76587301587301593</v>
      </c>
    </row>
    <row r="206" spans="1:26" s="24" customFormat="1" hidden="1" outlineLevel="2" x14ac:dyDescent="0.25">
      <c r="A206" s="27"/>
      <c r="B206" s="11" t="str">
        <f>CONCATENATE("          ", "6309", " - ", "TELEPHONE")</f>
        <v xml:space="preserve">          6309 - TELEPHONE</v>
      </c>
      <c r="C206" s="11"/>
      <c r="D206" s="6">
        <v>2403.75</v>
      </c>
      <c r="E206" s="2"/>
      <c r="F206" s="7">
        <f t="shared" si="109"/>
        <v>1.1508022632162041E-3</v>
      </c>
      <c r="G206" s="2"/>
      <c r="H206" s="6">
        <v>2315</v>
      </c>
      <c r="I206" s="2"/>
      <c r="J206" s="7">
        <f t="shared" si="110"/>
        <v>9.468492415594423E-4</v>
      </c>
      <c r="K206" s="2"/>
      <c r="L206" s="6">
        <f t="shared" si="111"/>
        <v>88.75</v>
      </c>
      <c r="M206" s="2"/>
      <c r="N206" s="7">
        <f t="shared" si="112"/>
        <v>3.8336933045356368E-2</v>
      </c>
      <c r="O206" s="11"/>
      <c r="P206" s="6">
        <v>4786.8</v>
      </c>
      <c r="Q206" s="2"/>
      <c r="R206" s="7">
        <f t="shared" si="113"/>
        <v>1.8962170552935154E-3</v>
      </c>
      <c r="S206" s="2"/>
      <c r="T206" s="6">
        <v>4240</v>
      </c>
      <c r="U206" s="2"/>
      <c r="V206" s="7">
        <f t="shared" si="114"/>
        <v>1.3765134343166098E-3</v>
      </c>
      <c r="W206" s="2"/>
      <c r="X206" s="6">
        <f t="shared" si="115"/>
        <v>546.80000000000018</v>
      </c>
      <c r="Y206" s="2"/>
      <c r="Z206" s="7">
        <f t="shared" si="116"/>
        <v>0.12896226415094345</v>
      </c>
    </row>
    <row r="207" spans="1:26" s="29" customFormat="1" outlineLevel="1" collapsed="1" x14ac:dyDescent="0.25">
      <c r="A207" s="28"/>
      <c r="B207" s="14" t="str">
        <f>CONCATENATE("     ","Training                                          ")</f>
        <v xml:space="preserve">     Training                                          </v>
      </c>
      <c r="C207" s="14"/>
      <c r="D207" s="1">
        <f>SUM(OSRRefD22_22x_0)</f>
        <v>0</v>
      </c>
      <c r="E207" s="1"/>
      <c r="F207" s="5">
        <f t="shared" ref="F207:F212" si="117">IF(D$12=0,0,D207/D$12)</f>
        <v>0</v>
      </c>
      <c r="G207" s="1"/>
      <c r="H207" s="1">
        <f>SUM(OSRRefH22_22x_0)</f>
        <v>60</v>
      </c>
      <c r="I207" s="1"/>
      <c r="J207" s="5">
        <f t="shared" ref="J207:J212" si="118">IF(H$12=0,0,H207/H$12)</f>
        <v>2.4540369111691809E-5</v>
      </c>
      <c r="K207" s="1"/>
      <c r="L207" s="1">
        <f t="shared" ref="L207:L212" si="119">+D207-H207</f>
        <v>-60</v>
      </c>
      <c r="M207" s="1"/>
      <c r="N207" s="5">
        <f t="shared" ref="N207:N212" si="120">IF(H207=0,0,L207/H207)</f>
        <v>-1</v>
      </c>
      <c r="O207" s="14"/>
      <c r="P207" s="1">
        <f>SUM(OSRRefP22_22x_0)</f>
        <v>131.63</v>
      </c>
      <c r="Q207" s="1"/>
      <c r="R207" s="5">
        <f t="shared" ref="R207:R212" si="121">IF(P$12=0,0,P207/P$12)</f>
        <v>5.2143196078441839E-5</v>
      </c>
      <c r="S207" s="1"/>
      <c r="T207" s="1">
        <f>SUM(OSRRefT22_22x_0)</f>
        <v>60</v>
      </c>
      <c r="U207" s="1"/>
      <c r="V207" s="5">
        <f t="shared" ref="V207:V212" si="122">IF(T$12=0,0,T207/T$12)</f>
        <v>1.9478963693159573E-5</v>
      </c>
      <c r="W207" s="1"/>
      <c r="X207" s="1">
        <f t="shared" ref="X207:X212" si="123">+P207-T207</f>
        <v>71.63</v>
      </c>
      <c r="Y207" s="1"/>
      <c r="Z207" s="5">
        <f t="shared" ref="Z207:Z212" si="124">IF(T207=0,0,X207/T207)</f>
        <v>1.1938333333333333</v>
      </c>
    </row>
    <row r="208" spans="1:26" s="24" customFormat="1" hidden="1" outlineLevel="2" x14ac:dyDescent="0.25">
      <c r="A208" s="27"/>
      <c r="B208" s="11" t="str">
        <f>CONCATENATE("          ", "6376", " - ", "TRAINING")</f>
        <v xml:space="preserve">          6376 - TRAINING</v>
      </c>
      <c r="C208" s="11"/>
      <c r="D208" s="6"/>
      <c r="E208" s="2"/>
      <c r="F208" s="7">
        <f t="shared" si="117"/>
        <v>0</v>
      </c>
      <c r="G208" s="2"/>
      <c r="H208" s="6">
        <v>60</v>
      </c>
      <c r="I208" s="2"/>
      <c r="J208" s="7">
        <f t="shared" si="118"/>
        <v>2.4540369111691809E-5</v>
      </c>
      <c r="K208" s="2"/>
      <c r="L208" s="6">
        <f t="shared" si="119"/>
        <v>-60</v>
      </c>
      <c r="M208" s="2"/>
      <c r="N208" s="7">
        <f t="shared" si="120"/>
        <v>-1</v>
      </c>
      <c r="O208" s="11"/>
      <c r="P208" s="6">
        <v>131.63</v>
      </c>
      <c r="Q208" s="2"/>
      <c r="R208" s="7">
        <f t="shared" si="121"/>
        <v>5.2143196078441839E-5</v>
      </c>
      <c r="S208" s="2"/>
      <c r="T208" s="6">
        <v>60</v>
      </c>
      <c r="U208" s="2"/>
      <c r="V208" s="7">
        <f t="shared" si="122"/>
        <v>1.9478963693159573E-5</v>
      </c>
      <c r="W208" s="2"/>
      <c r="X208" s="6">
        <f t="shared" si="123"/>
        <v>71.63</v>
      </c>
      <c r="Y208" s="2"/>
      <c r="Z208" s="7">
        <f t="shared" si="124"/>
        <v>1.1938333333333333</v>
      </c>
    </row>
    <row r="209" spans="1:26" s="29" customFormat="1" outlineLevel="1" collapsed="1" x14ac:dyDescent="0.25">
      <c r="A209" s="28"/>
      <c r="B209" s="14" t="str">
        <f>CONCATENATE("     ","Travel                                            ")</f>
        <v xml:space="preserve">     Travel                                            </v>
      </c>
      <c r="C209" s="14"/>
      <c r="D209" s="1">
        <f>SUM(OSRRefD22_23x_0)</f>
        <v>25.76</v>
      </c>
      <c r="E209" s="1"/>
      <c r="F209" s="5">
        <f t="shared" si="117"/>
        <v>1.2332674487966477E-5</v>
      </c>
      <c r="G209" s="1"/>
      <c r="H209" s="1">
        <f>SUM(OSRRefH22_23x_0)</f>
        <v>50</v>
      </c>
      <c r="I209" s="1"/>
      <c r="J209" s="5">
        <f t="shared" si="118"/>
        <v>2.0450307593076507E-5</v>
      </c>
      <c r="K209" s="1"/>
      <c r="L209" s="1">
        <f t="shared" si="119"/>
        <v>-24.24</v>
      </c>
      <c r="M209" s="1"/>
      <c r="N209" s="5">
        <f t="shared" si="120"/>
        <v>-0.48479999999999995</v>
      </c>
      <c r="O209" s="14"/>
      <c r="P209" s="1">
        <f>SUM(OSRRefP22_23x_0)</f>
        <v>300.96999999999997</v>
      </c>
      <c r="Q209" s="1"/>
      <c r="R209" s="5">
        <f t="shared" si="121"/>
        <v>1.1922462754485027E-4</v>
      </c>
      <c r="S209" s="1"/>
      <c r="T209" s="1">
        <f>SUM(OSRRefT22_23x_0)</f>
        <v>100</v>
      </c>
      <c r="U209" s="1"/>
      <c r="V209" s="5">
        <f t="shared" si="122"/>
        <v>3.2464939488599288E-5</v>
      </c>
      <c r="W209" s="1"/>
      <c r="X209" s="1">
        <f t="shared" si="123"/>
        <v>200.96999999999997</v>
      </c>
      <c r="Y209" s="1"/>
      <c r="Z209" s="5">
        <f t="shared" si="124"/>
        <v>2.0096999999999996</v>
      </c>
    </row>
    <row r="210" spans="1:26" s="24" customFormat="1" hidden="1" outlineLevel="2" x14ac:dyDescent="0.25">
      <c r="A210" s="27"/>
      <c r="B210" s="11" t="str">
        <f>CONCATENATE("          ", "6292", " - ", "TRAVEL/CONFERENCE")</f>
        <v xml:space="preserve">          6292 - TRAVEL/CONFERENCE</v>
      </c>
      <c r="C210" s="11"/>
      <c r="D210" s="6"/>
      <c r="E210" s="2"/>
      <c r="F210" s="7">
        <f t="shared" si="117"/>
        <v>0</v>
      </c>
      <c r="G210" s="2"/>
      <c r="H210" s="6"/>
      <c r="I210" s="2"/>
      <c r="J210" s="7">
        <f t="shared" si="118"/>
        <v>0</v>
      </c>
      <c r="K210" s="2"/>
      <c r="L210" s="6">
        <f t="shared" si="119"/>
        <v>0</v>
      </c>
      <c r="M210" s="2"/>
      <c r="N210" s="7">
        <f t="shared" si="120"/>
        <v>0</v>
      </c>
      <c r="O210" s="11"/>
      <c r="P210" s="6">
        <v>0.16</v>
      </c>
      <c r="Q210" s="2"/>
      <c r="R210" s="7">
        <f t="shared" si="121"/>
        <v>6.338153439603962E-8</v>
      </c>
      <c r="S210" s="2"/>
      <c r="T210" s="6"/>
      <c r="U210" s="2"/>
      <c r="V210" s="7">
        <f t="shared" si="122"/>
        <v>0</v>
      </c>
      <c r="W210" s="2"/>
      <c r="X210" s="6">
        <f t="shared" si="123"/>
        <v>0.16</v>
      </c>
      <c r="Y210" s="2"/>
      <c r="Z210" s="7">
        <f t="shared" si="124"/>
        <v>0</v>
      </c>
    </row>
    <row r="211" spans="1:26" s="24" customFormat="1" hidden="1" outlineLevel="2" x14ac:dyDescent="0.25">
      <c r="A211" s="27"/>
      <c r="B211" s="11" t="str">
        <f>CONCATENATE("          ", "6294", " - ", "TRAVEL OPERATIONAL")</f>
        <v xml:space="preserve">          6294 - TRAVEL OPERATIONAL</v>
      </c>
      <c r="C211" s="11"/>
      <c r="D211" s="6">
        <v>25.76</v>
      </c>
      <c r="E211" s="2"/>
      <c r="F211" s="7">
        <f t="shared" si="117"/>
        <v>1.2332674487966477E-5</v>
      </c>
      <c r="G211" s="2"/>
      <c r="H211" s="6">
        <v>25</v>
      </c>
      <c r="I211" s="2"/>
      <c r="J211" s="7">
        <f t="shared" si="118"/>
        <v>1.0225153796538253E-5</v>
      </c>
      <c r="K211" s="2"/>
      <c r="L211" s="6">
        <f t="shared" si="119"/>
        <v>0.76000000000000156</v>
      </c>
      <c r="M211" s="2"/>
      <c r="N211" s="7">
        <f t="shared" si="120"/>
        <v>3.0400000000000062E-2</v>
      </c>
      <c r="O211" s="11"/>
      <c r="P211" s="6">
        <v>240.92</v>
      </c>
      <c r="Q211" s="2"/>
      <c r="R211" s="7">
        <f t="shared" si="121"/>
        <v>9.5436745416836654E-5</v>
      </c>
      <c r="S211" s="2"/>
      <c r="T211" s="6">
        <v>50</v>
      </c>
      <c r="U211" s="2"/>
      <c r="V211" s="7">
        <f t="shared" si="122"/>
        <v>1.6232469744299644E-5</v>
      </c>
      <c r="W211" s="2"/>
      <c r="X211" s="6">
        <f t="shared" si="123"/>
        <v>190.92</v>
      </c>
      <c r="Y211" s="2"/>
      <c r="Z211" s="7">
        <f t="shared" si="124"/>
        <v>3.8183999999999996</v>
      </c>
    </row>
    <row r="212" spans="1:26" s="24" customFormat="1" hidden="1" outlineLevel="2" x14ac:dyDescent="0.25">
      <c r="A212" s="27"/>
      <c r="B212" s="11" t="str">
        <f>CONCATENATE("          ", "6298", " - ", "VEHICLE MILEAGE")</f>
        <v xml:space="preserve">          6298 - VEHICLE MILEAGE</v>
      </c>
      <c r="C212" s="11"/>
      <c r="D212" s="6"/>
      <c r="E212" s="2"/>
      <c r="F212" s="7">
        <f t="shared" si="117"/>
        <v>0</v>
      </c>
      <c r="G212" s="2"/>
      <c r="H212" s="6">
        <v>25</v>
      </c>
      <c r="I212" s="2"/>
      <c r="J212" s="7">
        <f t="shared" si="118"/>
        <v>1.0225153796538253E-5</v>
      </c>
      <c r="K212" s="2"/>
      <c r="L212" s="6">
        <f t="shared" si="119"/>
        <v>-25</v>
      </c>
      <c r="M212" s="2"/>
      <c r="N212" s="7">
        <f t="shared" si="120"/>
        <v>-1</v>
      </c>
      <c r="O212" s="11"/>
      <c r="P212" s="6">
        <v>59.89</v>
      </c>
      <c r="Q212" s="2"/>
      <c r="R212" s="7">
        <f t="shared" si="121"/>
        <v>2.3724500593617579E-5</v>
      </c>
      <c r="S212" s="2"/>
      <c r="T212" s="6">
        <v>50</v>
      </c>
      <c r="U212" s="2"/>
      <c r="V212" s="7">
        <f t="shared" si="122"/>
        <v>1.6232469744299644E-5</v>
      </c>
      <c r="W212" s="2"/>
      <c r="X212" s="6">
        <f t="shared" si="123"/>
        <v>9.89</v>
      </c>
      <c r="Y212" s="2"/>
      <c r="Z212" s="7">
        <f t="shared" si="124"/>
        <v>0.1978</v>
      </c>
    </row>
    <row r="213" spans="1:26" s="29" customFormat="1" outlineLevel="1" collapsed="1" x14ac:dyDescent="0.25">
      <c r="A213" s="28"/>
      <c r="B213" s="14" t="str">
        <f>CONCATENATE("     ","Utilities                                         ")</f>
        <v xml:space="preserve">     Utilities                                         </v>
      </c>
      <c r="C213" s="14"/>
      <c r="D213" s="1">
        <f>SUM(OSRRefD22_24x_0)</f>
        <v>6159.91</v>
      </c>
      <c r="E213" s="1"/>
      <c r="F213" s="5">
        <f t="shared" ref="F213:F214" si="125">IF(D$12=0,0,D213/D$12)</f>
        <v>2.9490747245795642E-3</v>
      </c>
      <c r="G213" s="1"/>
      <c r="H213" s="1">
        <f>SUM(OSRRefH22_24x_0)</f>
        <v>6105</v>
      </c>
      <c r="I213" s="1"/>
      <c r="J213" s="5">
        <f t="shared" ref="J213:J214" si="126">IF(H$12=0,0,H213/H$12)</f>
        <v>2.4969825571146418E-3</v>
      </c>
      <c r="K213" s="1"/>
      <c r="L213" s="1">
        <f t="shared" ref="L213:L214" si="127">+D213-H213</f>
        <v>54.909999999999854</v>
      </c>
      <c r="M213" s="1"/>
      <c r="N213" s="5">
        <f t="shared" ref="N213:N214" si="128">IF(H213=0,0,L213/H213)</f>
        <v>8.9942669942669699E-3</v>
      </c>
      <c r="O213" s="14"/>
      <c r="P213" s="1">
        <f>SUM(OSRRefP22_24x_0)</f>
        <v>12321.37</v>
      </c>
      <c r="Q213" s="1"/>
      <c r="R213" s="5">
        <f t="shared" ref="R213:R214" si="129">IF(P$12=0,0,P213/P$12)</f>
        <v>4.8809208528833173E-3</v>
      </c>
      <c r="S213" s="1"/>
      <c r="T213" s="1">
        <f>SUM(OSRRefT22_24x_0)</f>
        <v>12210</v>
      </c>
      <c r="U213" s="1"/>
      <c r="V213" s="5">
        <f t="shared" ref="V213:V214" si="130">IF(T$12=0,0,T213/T$12)</f>
        <v>3.9639691115579733E-3</v>
      </c>
      <c r="W213" s="1"/>
      <c r="X213" s="1">
        <f t="shared" ref="X213:X214" si="131">+P213-T213</f>
        <v>111.3700000000008</v>
      </c>
      <c r="Y213" s="1"/>
      <c r="Z213" s="5">
        <f t="shared" ref="Z213:Z214" si="132">IF(T213=0,0,X213/T213)</f>
        <v>9.1212121212121862E-3</v>
      </c>
    </row>
    <row r="214" spans="1:26" s="24" customFormat="1" hidden="1" outlineLevel="2" x14ac:dyDescent="0.25">
      <c r="A214" s="27"/>
      <c r="B214" s="11" t="str">
        <f>CONCATENATE("          ", "6274", " - ", "UTILITIES")</f>
        <v xml:space="preserve">          6274 - UTILITIES</v>
      </c>
      <c r="C214" s="11"/>
      <c r="D214" s="6">
        <v>6159.91</v>
      </c>
      <c r="E214" s="2"/>
      <c r="F214" s="7">
        <f t="shared" si="125"/>
        <v>2.9490747245795642E-3</v>
      </c>
      <c r="G214" s="2"/>
      <c r="H214" s="6">
        <v>6105</v>
      </c>
      <c r="I214" s="2"/>
      <c r="J214" s="7">
        <f t="shared" si="126"/>
        <v>2.4969825571146418E-3</v>
      </c>
      <c r="K214" s="2"/>
      <c r="L214" s="6">
        <f t="shared" si="127"/>
        <v>54.909999999999854</v>
      </c>
      <c r="M214" s="2"/>
      <c r="N214" s="7">
        <f t="shared" si="128"/>
        <v>8.9942669942669699E-3</v>
      </c>
      <c r="O214" s="11"/>
      <c r="P214" s="6">
        <v>12321.37</v>
      </c>
      <c r="Q214" s="2"/>
      <c r="R214" s="7">
        <f t="shared" si="129"/>
        <v>4.8809208528833173E-3</v>
      </c>
      <c r="S214" s="2"/>
      <c r="T214" s="6">
        <v>12210</v>
      </c>
      <c r="U214" s="2"/>
      <c r="V214" s="7">
        <f t="shared" si="130"/>
        <v>3.9639691115579733E-3</v>
      </c>
      <c r="W214" s="2"/>
      <c r="X214" s="6">
        <f t="shared" si="131"/>
        <v>111.3700000000008</v>
      </c>
      <c r="Y214" s="2"/>
      <c r="Z214" s="7">
        <f t="shared" si="132"/>
        <v>9.1212121212121862E-3</v>
      </c>
    </row>
    <row r="215" spans="1:26" s="61" customFormat="1" x14ac:dyDescent="0.25">
      <c r="A215" s="36"/>
      <c r="B215" s="36"/>
      <c r="C215" s="36"/>
      <c r="D215" s="1"/>
      <c r="E215" s="1"/>
      <c r="F215" s="5"/>
      <c r="G215" s="1"/>
      <c r="H215" s="1"/>
      <c r="I215" s="1"/>
      <c r="J215" s="5"/>
      <c r="K215" s="1"/>
      <c r="L215" s="1"/>
      <c r="M215" s="1"/>
      <c r="N215" s="5"/>
      <c r="O215" s="36"/>
      <c r="P215" s="1"/>
      <c r="Q215" s="1"/>
      <c r="R215" s="5"/>
      <c r="S215" s="1"/>
      <c r="T215" s="1"/>
      <c r="U215" s="1"/>
      <c r="V215" s="5"/>
      <c r="W215" s="1"/>
      <c r="X215" s="1"/>
      <c r="Y215" s="1"/>
      <c r="Z215" s="5"/>
    </row>
    <row r="216" spans="1:26" s="22" customFormat="1" collapsed="1" x14ac:dyDescent="0.25">
      <c r="A216" s="10"/>
      <c r="B216" s="25" t="s">
        <v>0</v>
      </c>
      <c r="C216" s="10"/>
      <c r="D216" s="4">
        <f>SUM(OSRRefD25x_0)</f>
        <v>56729.3</v>
      </c>
      <c r="E216" s="4"/>
      <c r="F216" s="12">
        <f t="shared" ref="F216:F221" si="133">IF(D$12=0,0,D216/D$12)</f>
        <v>2.715931641421571E-2</v>
      </c>
      <c r="G216" s="4"/>
      <c r="H216" s="4">
        <f>SUM(OSRRefH25x_0)</f>
        <v>40814</v>
      </c>
      <c r="I216" s="4"/>
      <c r="J216" s="12">
        <f t="shared" ref="J216:J221" si="134">IF(H$12=0,0,H216/H$12)</f>
        <v>1.6693177082076491E-2</v>
      </c>
      <c r="K216" s="4"/>
      <c r="L216" s="4">
        <f t="shared" ref="L216:L221" si="135">+D216-H216</f>
        <v>15915.300000000003</v>
      </c>
      <c r="M216" s="4"/>
      <c r="N216" s="12">
        <f t="shared" ref="N216:N221" si="136">IF(H216=0,0,L216/H216)</f>
        <v>0.3899470769833881</v>
      </c>
      <c r="O216" s="10"/>
      <c r="P216" s="4">
        <f>SUM(OSRRefP25x_0)</f>
        <v>254226.49</v>
      </c>
      <c r="Q216" s="4"/>
      <c r="R216" s="12">
        <f t="shared" ref="R216:R221" si="137">IF(P$12=0,0,P216/P$12)</f>
        <v>0.10070790637699638</v>
      </c>
      <c r="S216" s="4"/>
      <c r="T216" s="4">
        <f>SUM(OSRRefT25x_0)</f>
        <v>76390</v>
      </c>
      <c r="U216" s="4"/>
      <c r="V216" s="12">
        <f t="shared" ref="V216:V221" si="138">IF(T$12=0,0,T216/T$12)</f>
        <v>2.4799967275340996E-2</v>
      </c>
      <c r="W216" s="4"/>
      <c r="X216" s="4">
        <f t="shared" ref="X216:X221" si="139">+P216-T216</f>
        <v>177836.49</v>
      </c>
      <c r="Y216" s="4"/>
      <c r="Z216" s="12">
        <f t="shared" ref="Z216:Z221" si="140">IF(T216=0,0,X216/T216)</f>
        <v>2.3280074617096478</v>
      </c>
    </row>
    <row r="217" spans="1:26" s="24" customFormat="1" hidden="1" outlineLevel="1" x14ac:dyDescent="0.25">
      <c r="A217" s="51"/>
      <c r="B217" s="11" t="str">
        <f>CONCATENATE("          ", "4187", " - ", "NON-TAXABLE SALES-COMPUTER REP")</f>
        <v xml:space="preserve">          4187 - NON-TAXABLE SALES-COMPUTER REP</v>
      </c>
      <c r="C217" s="11"/>
      <c r="D217" s="2">
        <f>0</f>
        <v>0</v>
      </c>
      <c r="E217" s="2"/>
      <c r="F217" s="23">
        <f t="shared" si="133"/>
        <v>0</v>
      </c>
      <c r="G217" s="2"/>
      <c r="H217" s="2"/>
      <c r="I217" s="2"/>
      <c r="J217" s="23">
        <f t="shared" si="134"/>
        <v>0</v>
      </c>
      <c r="K217" s="2"/>
      <c r="L217" s="2">
        <f t="shared" si="135"/>
        <v>0</v>
      </c>
      <c r="M217" s="2"/>
      <c r="N217" s="23">
        <f t="shared" si="136"/>
        <v>0</v>
      </c>
      <c r="O217" s="11"/>
      <c r="P217" s="2">
        <f>--19.99</f>
        <v>19.989999999999998</v>
      </c>
      <c r="Q217" s="2"/>
      <c r="R217" s="23">
        <f t="shared" si="137"/>
        <v>7.9187304536051995E-6</v>
      </c>
      <c r="S217" s="2"/>
      <c r="T217" s="2"/>
      <c r="U217" s="2"/>
      <c r="V217" s="23">
        <f t="shared" si="138"/>
        <v>0</v>
      </c>
      <c r="W217" s="2"/>
      <c r="X217" s="2">
        <f t="shared" si="139"/>
        <v>19.989999999999998</v>
      </c>
      <c r="Y217" s="2"/>
      <c r="Z217" s="23">
        <f t="shared" si="140"/>
        <v>0</v>
      </c>
    </row>
    <row r="218" spans="1:26" s="24" customFormat="1" hidden="1" outlineLevel="1" x14ac:dyDescent="0.25">
      <c r="A218" s="51"/>
      <c r="B218" s="11" t="str">
        <f>CONCATENATE("          ", "9150", " - ", "MISC. INCOME")</f>
        <v xml:space="preserve">          9150 - MISC. INCOME</v>
      </c>
      <c r="C218" s="11"/>
      <c r="D218" s="2">
        <f>--56657.3</f>
        <v>56657.3</v>
      </c>
      <c r="E218" s="2"/>
      <c r="F218" s="23">
        <f t="shared" si="133"/>
        <v>2.7124846206019529E-2</v>
      </c>
      <c r="G218" s="2"/>
      <c r="H218" s="2">
        <v>25639</v>
      </c>
      <c r="I218" s="2"/>
      <c r="J218" s="23">
        <f t="shared" si="134"/>
        <v>1.0486508727577771E-2</v>
      </c>
      <c r="K218" s="2"/>
      <c r="L218" s="2">
        <f t="shared" si="135"/>
        <v>31018.300000000003</v>
      </c>
      <c r="M218" s="2"/>
      <c r="N218" s="23">
        <f t="shared" si="136"/>
        <v>1.2098092749327198</v>
      </c>
      <c r="O218" s="11"/>
      <c r="P218" s="2">
        <f>--91996.21</f>
        <v>91996.21</v>
      </c>
      <c r="Q218" s="2"/>
      <c r="R218" s="23">
        <f t="shared" si="137"/>
        <v>3.6442880927626778E-2</v>
      </c>
      <c r="S218" s="2"/>
      <c r="T218" s="2">
        <v>45840</v>
      </c>
      <c r="U218" s="2"/>
      <c r="V218" s="23">
        <f t="shared" si="138"/>
        <v>1.4881928261573913E-2</v>
      </c>
      <c r="W218" s="2"/>
      <c r="X218" s="2">
        <f t="shared" si="139"/>
        <v>46156.210000000006</v>
      </c>
      <c r="Y218" s="2"/>
      <c r="Z218" s="23">
        <f t="shared" si="140"/>
        <v>1.0068981239092496</v>
      </c>
    </row>
    <row r="219" spans="1:26" s="24" customFormat="1" hidden="1" outlineLevel="1" x14ac:dyDescent="0.25">
      <c r="A219" s="51"/>
      <c r="B219" s="11" t="str">
        <f>CONCATENATE("          ", "9151", " - ", "MISC. INCOME")</f>
        <v xml:space="preserve">          9151 - MISC. INCOME</v>
      </c>
      <c r="C219" s="11"/>
      <c r="D219" s="2">
        <f>0</f>
        <v>0</v>
      </c>
      <c r="E219" s="2"/>
      <c r="F219" s="23">
        <f t="shared" si="133"/>
        <v>0</v>
      </c>
      <c r="G219" s="2"/>
      <c r="H219" s="2">
        <v>15175</v>
      </c>
      <c r="I219" s="2"/>
      <c r="J219" s="23">
        <f t="shared" si="134"/>
        <v>6.2066683544987197E-3</v>
      </c>
      <c r="K219" s="2"/>
      <c r="L219" s="2">
        <f t="shared" si="135"/>
        <v>-15175</v>
      </c>
      <c r="M219" s="2"/>
      <c r="N219" s="23">
        <f t="shared" si="136"/>
        <v>-1</v>
      </c>
      <c r="O219" s="11"/>
      <c r="P219" s="2">
        <f>0</f>
        <v>0</v>
      </c>
      <c r="Q219" s="2"/>
      <c r="R219" s="23">
        <f t="shared" si="137"/>
        <v>0</v>
      </c>
      <c r="S219" s="2"/>
      <c r="T219" s="2">
        <v>30550</v>
      </c>
      <c r="U219" s="2"/>
      <c r="V219" s="23">
        <f t="shared" si="138"/>
        <v>9.918039013767083E-3</v>
      </c>
      <c r="W219" s="2"/>
      <c r="X219" s="2">
        <f t="shared" si="139"/>
        <v>-30550</v>
      </c>
      <c r="Y219" s="2"/>
      <c r="Z219" s="23">
        <f t="shared" si="140"/>
        <v>-1</v>
      </c>
    </row>
    <row r="220" spans="1:26" s="24" customFormat="1" hidden="1" outlineLevel="1" x14ac:dyDescent="0.25">
      <c r="A220" s="51"/>
      <c r="B220" s="11" t="str">
        <f>CONCATENATE("          ", "9152", " - ", "MISC. INCOME")</f>
        <v xml:space="preserve">          9152 - MISC. INCOME</v>
      </c>
      <c r="C220" s="11"/>
      <c r="D220" s="2">
        <f>--72</f>
        <v>72</v>
      </c>
      <c r="E220" s="2"/>
      <c r="F220" s="23">
        <f t="shared" si="133"/>
        <v>3.4470208196179589E-5</v>
      </c>
      <c r="G220" s="2"/>
      <c r="H220" s="2"/>
      <c r="I220" s="2"/>
      <c r="J220" s="23">
        <f t="shared" si="134"/>
        <v>0</v>
      </c>
      <c r="K220" s="2"/>
      <c r="L220" s="2">
        <f t="shared" si="135"/>
        <v>72</v>
      </c>
      <c r="M220" s="2"/>
      <c r="N220" s="23">
        <f t="shared" si="136"/>
        <v>0</v>
      </c>
      <c r="O220" s="11"/>
      <c r="P220" s="2">
        <f>--1546.39</f>
        <v>1546.39</v>
      </c>
      <c r="Q220" s="2"/>
      <c r="R220" s="23">
        <f t="shared" si="137"/>
        <v>6.1257856859182316E-4</v>
      </c>
      <c r="S220" s="2"/>
      <c r="T220" s="2"/>
      <c r="U220" s="2"/>
      <c r="V220" s="23">
        <f t="shared" si="138"/>
        <v>0</v>
      </c>
      <c r="W220" s="2"/>
      <c r="X220" s="2">
        <f t="shared" si="139"/>
        <v>1546.39</v>
      </c>
      <c r="Y220" s="2"/>
      <c r="Z220" s="23">
        <f t="shared" si="140"/>
        <v>0</v>
      </c>
    </row>
    <row r="221" spans="1:26" s="24" customFormat="1" hidden="1" outlineLevel="1" x14ac:dyDescent="0.25">
      <c r="A221" s="51"/>
      <c r="B221" s="11" t="str">
        <f>CONCATENATE("          ", "9163", " - ", "MISC. INCOME")</f>
        <v xml:space="preserve">          9163 - MISC. INCOME</v>
      </c>
      <c r="C221" s="11"/>
      <c r="D221" s="2">
        <f>0</f>
        <v>0</v>
      </c>
      <c r="E221" s="2"/>
      <c r="F221" s="23">
        <f t="shared" si="133"/>
        <v>0</v>
      </c>
      <c r="G221" s="2"/>
      <c r="H221" s="2"/>
      <c r="I221" s="2"/>
      <c r="J221" s="23">
        <f t="shared" si="134"/>
        <v>0</v>
      </c>
      <c r="K221" s="2"/>
      <c r="L221" s="2">
        <f t="shared" si="135"/>
        <v>0</v>
      </c>
      <c r="M221" s="2"/>
      <c r="N221" s="23">
        <f t="shared" si="136"/>
        <v>0</v>
      </c>
      <c r="O221" s="11"/>
      <c r="P221" s="2">
        <f>--160663.9</f>
        <v>160663.9</v>
      </c>
      <c r="Q221" s="2"/>
      <c r="R221" s="23">
        <f t="shared" si="137"/>
        <v>6.3644528150324176E-2</v>
      </c>
      <c r="S221" s="2"/>
      <c r="T221" s="2"/>
      <c r="U221" s="2"/>
      <c r="V221" s="23">
        <f t="shared" si="138"/>
        <v>0</v>
      </c>
      <c r="W221" s="2"/>
      <c r="X221" s="2">
        <f t="shared" si="139"/>
        <v>160663.9</v>
      </c>
      <c r="Y221" s="2"/>
      <c r="Z221" s="23">
        <f t="shared" si="140"/>
        <v>0</v>
      </c>
    </row>
    <row r="222" spans="1:26" x14ac:dyDescent="0.25">
      <c r="A222" s="9"/>
      <c r="B222" s="10"/>
      <c r="C222" s="10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O222" s="10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s="22" customFormat="1" x14ac:dyDescent="0.25">
      <c r="A223" s="10"/>
      <c r="B223" s="26" t="s">
        <v>3</v>
      </c>
      <c r="C223" s="26"/>
      <c r="D223" s="21">
        <f>+D117-D119+D216</f>
        <v>346578.76000000065</v>
      </c>
      <c r="E223" s="13"/>
      <c r="F223" s="20">
        <f>IF(D$12=0,0,D223/D$12)</f>
        <v>0.16592558352185807</v>
      </c>
      <c r="G223" s="13"/>
      <c r="H223" s="21">
        <f>+H117-H119+H216</f>
        <v>371205.63994103845</v>
      </c>
      <c r="I223" s="13"/>
      <c r="J223" s="20">
        <f>IF(H$12=0,0,H223/H$12)</f>
        <v>0.15182539034158085</v>
      </c>
      <c r="K223" s="16"/>
      <c r="L223" s="21">
        <f>+D223-H223</f>
        <v>-24626.879941037798</v>
      </c>
      <c r="M223" s="16"/>
      <c r="N223" s="20">
        <f>IF(H223=0,0,L223/H223)</f>
        <v>-6.6342957356330792E-2</v>
      </c>
      <c r="O223" s="25"/>
      <c r="P223" s="21">
        <f>+P117-P119+P216</f>
        <v>323978.54000000062</v>
      </c>
      <c r="Q223" s="13"/>
      <c r="R223" s="20">
        <f>IF(P$12=0,0,P223/P$12)</f>
        <v>0.1283391061036796</v>
      </c>
      <c r="S223" s="13"/>
      <c r="T223" s="21">
        <f>+T117-T119+T216</f>
        <v>220413.36993733654</v>
      </c>
      <c r="U223" s="13"/>
      <c r="V223" s="20">
        <f>IF(T$12=0,0,T223/T$12)</f>
        <v>7.1557067174938802E-2</v>
      </c>
      <c r="W223" s="16"/>
      <c r="X223" s="21">
        <f>+P223-T223</f>
        <v>103565.17006266408</v>
      </c>
      <c r="Y223" s="16"/>
      <c r="Z223" s="20">
        <f>IF(T223=0,0,X223/T223)</f>
        <v>0.46986791269562111</v>
      </c>
    </row>
    <row r="224" spans="1:26" x14ac:dyDescent="0.25">
      <c r="A224" s="9"/>
      <c r="B224" s="10"/>
      <c r="C224" s="9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2" customFormat="1" x14ac:dyDescent="0.25">
      <c r="A225" s="52"/>
      <c r="B225" s="10" t="s">
        <v>14</v>
      </c>
      <c r="C225" s="10"/>
      <c r="D225" s="4">
        <v>211357.75</v>
      </c>
      <c r="E225" s="4"/>
      <c r="F225" s="12">
        <f>IF(D$12=0,0,D225/D$12)</f>
        <v>0.10118813397744551</v>
      </c>
      <c r="G225" s="4"/>
      <c r="H225" s="4">
        <v>194203</v>
      </c>
      <c r="I225" s="4"/>
      <c r="J225" s="12">
        <f>IF(H$12=0,0,H225/H$12)</f>
        <v>7.9430221709964735E-2</v>
      </c>
      <c r="K225" s="4"/>
      <c r="L225" s="4">
        <f>+D225-H225</f>
        <v>17154.75</v>
      </c>
      <c r="M225" s="4"/>
      <c r="N225" s="12">
        <f>IF(H225=0,0,L225/H225)</f>
        <v>8.8334114303074612E-2</v>
      </c>
      <c r="O225" s="10"/>
      <c r="P225" s="4">
        <v>426210.48000000004</v>
      </c>
      <c r="Q225" s="4"/>
      <c r="R225" s="12">
        <f>IF(P$12=0,0,P225/P$12)</f>
        <v>0.16883671373795348</v>
      </c>
      <c r="S225" s="4"/>
      <c r="T225" s="4">
        <v>505388</v>
      </c>
      <c r="U225" s="4"/>
      <c r="V225" s="12">
        <f>IF(T$12=0,0,T225/T$12)</f>
        <v>0.16407390838264216</v>
      </c>
      <c r="W225" s="4"/>
      <c r="X225" s="4">
        <f>+P225-T225</f>
        <v>-79177.51999999996</v>
      </c>
      <c r="Y225" s="4"/>
      <c r="Z225" s="12">
        <f>IF(T225=0,0,X225/T225)</f>
        <v>-0.15666679857851781</v>
      </c>
    </row>
    <row r="226" spans="1:26" x14ac:dyDescent="0.25">
      <c r="A226" s="9"/>
      <c r="B226" s="10"/>
      <c r="C226" s="10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O226" s="10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2" customFormat="1" ht="15.75" thickBot="1" x14ac:dyDescent="0.3">
      <c r="A227" s="10"/>
      <c r="B227" s="26" t="s">
        <v>4</v>
      </c>
      <c r="C227" s="26"/>
      <c r="D227" s="33">
        <f>+D223-D225</f>
        <v>135221.01000000065</v>
      </c>
      <c r="E227" s="13"/>
      <c r="F227" s="31">
        <f>IF(D$12=0,0,D227/D$12)</f>
        <v>6.4737449544412573E-2</v>
      </c>
      <c r="G227" s="13"/>
      <c r="H227" s="33">
        <f>+H223-H225</f>
        <v>177002.63994103845</v>
      </c>
      <c r="I227" s="13"/>
      <c r="J227" s="31">
        <f>IF(H$12=0,0,H227/H$12)</f>
        <v>7.2395168631616116E-2</v>
      </c>
      <c r="K227" s="16"/>
      <c r="L227" s="33">
        <f>D227-H227</f>
        <v>-41781.629941037798</v>
      </c>
      <c r="M227" s="16"/>
      <c r="N227" s="31">
        <f>IF(H227=0,0,L227/H227)</f>
        <v>-0.23605088576619945</v>
      </c>
      <c r="O227" s="25"/>
      <c r="P227" s="33">
        <f>+P223-P225</f>
        <v>-102231.93999999942</v>
      </c>
      <c r="Q227" s="13"/>
      <c r="R227" s="31">
        <f>IF(P$12=0,0,P227/P$12)</f>
        <v>-4.0497607634273888E-2</v>
      </c>
      <c r="S227" s="13"/>
      <c r="T227" s="33">
        <f>+T223-T225</f>
        <v>-284974.63006266346</v>
      </c>
      <c r="U227" s="13"/>
      <c r="V227" s="31">
        <f>IF(T$12=0,0,T227/T$12)</f>
        <v>-9.2516841207703371E-2</v>
      </c>
      <c r="W227" s="16"/>
      <c r="X227" s="33">
        <f>P227-T227</f>
        <v>182742.69006266404</v>
      </c>
      <c r="Y227" s="16"/>
      <c r="Z227" s="31">
        <f>IF(T227=0,0,X227/T227)</f>
        <v>-0.64125950447757574</v>
      </c>
    </row>
    <row r="228" spans="1:26" ht="15.75" thickTop="1" x14ac:dyDescent="0.25">
      <c r="A228" s="9"/>
      <c r="B228" s="9"/>
      <c r="C228" s="9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x14ac:dyDescent="0.25">
      <c r="A229" s="9"/>
      <c r="B229" s="9"/>
      <c r="C229" s="9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2" customFormat="1" ht="15.75" thickBot="1" x14ac:dyDescent="0.3">
      <c r="A230" s="10"/>
      <c r="B230" s="26" t="s">
        <v>5</v>
      </c>
      <c r="C230" s="26"/>
      <c r="D230" s="32">
        <f>SUM(D227:D229)</f>
        <v>135221.01000000065</v>
      </c>
      <c r="E230" s="13"/>
      <c r="F230" s="35">
        <f>IF(D$12=0,0,D230/D$12)</f>
        <v>6.4737449544412573E-2</v>
      </c>
      <c r="G230" s="13"/>
      <c r="H230" s="32">
        <f>SUM(H227:H229)</f>
        <v>177002.63994103845</v>
      </c>
      <c r="I230" s="13"/>
      <c r="J230" s="35">
        <f>IF(H$12=0,0,H230/H$12)</f>
        <v>7.2395168631616116E-2</v>
      </c>
      <c r="K230" s="16"/>
      <c r="L230" s="32">
        <f>+D230-H230</f>
        <v>-41781.629941037798</v>
      </c>
      <c r="M230" s="16"/>
      <c r="N230" s="35">
        <f>IF(H230=0,0,L230/H230)</f>
        <v>-0.23605088576619945</v>
      </c>
      <c r="O230" s="25"/>
      <c r="P230" s="32">
        <f>SUM(P227:P229)</f>
        <v>-102231.93999999942</v>
      </c>
      <c r="Q230" s="13"/>
      <c r="R230" s="35">
        <f>IF(P$12=0,0,P230/P$12)</f>
        <v>-4.0497607634273888E-2</v>
      </c>
      <c r="S230" s="13"/>
      <c r="T230" s="32">
        <f>SUM(T227:T229)</f>
        <v>-284974.63006266346</v>
      </c>
      <c r="U230" s="13"/>
      <c r="V230" s="35">
        <f>IF(T$12=0,0,T230/T$12)</f>
        <v>-9.2516841207703371E-2</v>
      </c>
      <c r="W230" s="16"/>
      <c r="X230" s="32">
        <f>+P230-T230</f>
        <v>182742.69006266404</v>
      </c>
      <c r="Y230" s="16"/>
      <c r="Z230" s="35">
        <f>IF(T230=0,0,X230/T230)</f>
        <v>-0.64125950447757574</v>
      </c>
    </row>
    <row r="231" spans="1:26" ht="15.75" thickTop="1" x14ac:dyDescent="0.25">
      <c r="A231" s="9"/>
      <c r="C231" s="9"/>
      <c r="D231" s="18"/>
      <c r="E231" s="18"/>
      <c r="G231" s="18"/>
      <c r="H231" s="18"/>
      <c r="I231" s="18"/>
      <c r="J231" s="43"/>
      <c r="K231" s="18"/>
      <c r="L231" s="18"/>
      <c r="M231" s="18"/>
      <c r="P231" s="18"/>
      <c r="Q231" s="18"/>
      <c r="R231" s="43"/>
      <c r="S231" s="18"/>
      <c r="T231" s="18"/>
      <c r="U231" s="18"/>
      <c r="V231" s="43"/>
      <c r="W231" s="18"/>
      <c r="X231" s="18"/>
    </row>
    <row r="232" spans="1:26" x14ac:dyDescent="0.25">
      <c r="A232" s="9"/>
      <c r="B232" s="59">
        <v>44113.688915590275</v>
      </c>
      <c r="D232" s="18"/>
      <c r="E232" s="18"/>
      <c r="G232" s="18"/>
      <c r="H232" s="18"/>
      <c r="I232" s="18"/>
      <c r="J232" s="43"/>
      <c r="K232" s="18"/>
      <c r="L232" s="18"/>
      <c r="M232" s="18"/>
      <c r="P232" s="18"/>
      <c r="Q232" s="18"/>
      <c r="R232" s="43"/>
      <c r="S232" s="18"/>
      <c r="T232" s="18"/>
      <c r="U232" s="18"/>
      <c r="V232" s="43"/>
      <c r="W232" s="18"/>
      <c r="X232" s="18"/>
    </row>
    <row r="233" spans="1:26" x14ac:dyDescent="0.25">
      <c r="A233" s="9"/>
      <c r="B233" s="62" t="s">
        <v>314</v>
      </c>
      <c r="D233" s="18"/>
      <c r="E233" s="18"/>
      <c r="G233" s="18"/>
      <c r="H233" s="18"/>
      <c r="I233" s="18"/>
      <c r="J233" s="43"/>
      <c r="K233" s="18"/>
      <c r="L233" s="18"/>
      <c r="M233" s="18"/>
      <c r="P233" s="18"/>
      <c r="Q233" s="18"/>
      <c r="R233" s="43"/>
      <c r="S233" s="18"/>
      <c r="T233" s="18"/>
      <c r="U233" s="18"/>
      <c r="V233" s="43"/>
      <c r="W233" s="18"/>
      <c r="X233" s="18"/>
    </row>
    <row r="234" spans="1:26" x14ac:dyDescent="0.25">
      <c r="A234" s="9"/>
      <c r="B234" s="63"/>
      <c r="D234" s="18"/>
      <c r="E234" s="18"/>
      <c r="G234" s="18"/>
      <c r="H234" s="18"/>
      <c r="I234" s="18"/>
      <c r="J234" s="43"/>
      <c r="K234" s="18"/>
      <c r="L234" s="18"/>
      <c r="M234" s="18"/>
      <c r="P234" s="18"/>
      <c r="Q234" s="18"/>
      <c r="R234" s="43"/>
      <c r="S234" s="18"/>
      <c r="T234" s="18"/>
      <c r="U234" s="18"/>
      <c r="V234" s="43"/>
      <c r="W234" s="18"/>
      <c r="X234" s="18"/>
    </row>
    <row r="235" spans="1:26" x14ac:dyDescent="0.25">
      <c r="D235" s="18"/>
      <c r="E235" s="18"/>
      <c r="G235" s="18"/>
      <c r="H235" s="18"/>
      <c r="I235" s="18"/>
      <c r="J235" s="43"/>
      <c r="K235" s="18"/>
      <c r="L235" s="18"/>
      <c r="M235" s="18"/>
      <c r="P235" s="18"/>
      <c r="Q235" s="18"/>
      <c r="R235" s="43"/>
      <c r="S235" s="18"/>
      <c r="T235" s="18"/>
      <c r="U235" s="18"/>
      <c r="V235" s="43"/>
      <c r="W235" s="18"/>
      <c r="X235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","301", " - ", "Bookstore Operations")</f>
        <v>Department 301 - Bookstore Operations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141962.66000000003</v>
      </c>
      <c r="E18" s="19"/>
      <c r="F18" s="30">
        <f t="shared" ref="F18:F28" si="0">IF(D$12=0,0,D18/D$12)</f>
        <v>0</v>
      </c>
      <c r="G18" s="19"/>
      <c r="H18" s="19">
        <f>SUM(OSRRefH22x_0)</f>
        <v>203746.81752033846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-61784.157520338427</v>
      </c>
      <c r="M18" s="4"/>
      <c r="N18" s="30">
        <f t="shared" ref="N18:N28" si="3">IF(H18=0,0,L18/H18)</f>
        <v>-0.30323986539898223</v>
      </c>
      <c r="O18" s="10"/>
      <c r="P18" s="19">
        <f>SUM(OSRRefP22x_0)</f>
        <v>307379.36</v>
      </c>
      <c r="Q18" s="19"/>
      <c r="R18" s="30">
        <f t="shared" ref="R18:R28" si="4">IF(P$12=0,0,P18/P$12)</f>
        <v>0</v>
      </c>
      <c r="S18" s="19"/>
      <c r="T18" s="19">
        <f>SUM(OSRRefT22x_0)</f>
        <v>380890.39739576157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-73511.037395761581</v>
      </c>
      <c r="Y18" s="4"/>
      <c r="Z18" s="30">
        <f t="shared" ref="Z18:Z28" si="7">IF(T18=0,0,X18/T18)</f>
        <v>-0.19299787523753306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9570.6299999999992</v>
      </c>
      <c r="E19" s="1"/>
      <c r="F19" s="5">
        <f t="shared" si="0"/>
        <v>0</v>
      </c>
      <c r="G19" s="1"/>
      <c r="H19" s="1">
        <f>SUM(OSRRefH22_0x_0)</f>
        <v>10221.571981876928</v>
      </c>
      <c r="I19" s="1"/>
      <c r="J19" s="5">
        <f t="shared" si="1"/>
        <v>0</v>
      </c>
      <c r="K19" s="1"/>
      <c r="L19" s="1">
        <f t="shared" si="2"/>
        <v>-650.94198187692928</v>
      </c>
      <c r="M19" s="1"/>
      <c r="N19" s="5">
        <f t="shared" si="3"/>
        <v>-6.3683157838252638E-2</v>
      </c>
      <c r="O19" s="14"/>
      <c r="P19" s="1">
        <f>SUM(OSRRefP22_0x_0)</f>
        <v>18086.96</v>
      </c>
      <c r="Q19" s="1"/>
      <c r="R19" s="5">
        <f t="shared" si="4"/>
        <v>0</v>
      </c>
      <c r="S19" s="1"/>
      <c r="T19" s="1">
        <f>SUM(OSRRefT22_0x_0)</f>
        <v>21569.219934223071</v>
      </c>
      <c r="U19" s="1"/>
      <c r="V19" s="5">
        <f t="shared" si="5"/>
        <v>0</v>
      </c>
      <c r="W19" s="1"/>
      <c r="X19" s="1">
        <f t="shared" si="6"/>
        <v>-3482.2599342230715</v>
      </c>
      <c r="Y19" s="1"/>
      <c r="Z19" s="5">
        <f t="shared" si="7"/>
        <v>-0.16144579844994303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4014.83</v>
      </c>
      <c r="E20" s="2"/>
      <c r="F20" s="7">
        <f t="shared" si="0"/>
        <v>0</v>
      </c>
      <c r="G20" s="2"/>
      <c r="H20" s="6">
        <v>3030.55785895385</v>
      </c>
      <c r="I20" s="2"/>
      <c r="J20" s="7">
        <f t="shared" si="1"/>
        <v>0</v>
      </c>
      <c r="K20" s="2"/>
      <c r="L20" s="6">
        <f t="shared" si="2"/>
        <v>984.27214104614995</v>
      </c>
      <c r="M20" s="2"/>
      <c r="N20" s="7">
        <f t="shared" si="3"/>
        <v>0.32478249446322111</v>
      </c>
      <c r="O20" s="11"/>
      <c r="P20" s="6">
        <v>6261.85</v>
      </c>
      <c r="Q20" s="2"/>
      <c r="R20" s="7">
        <f t="shared" si="4"/>
        <v>0</v>
      </c>
      <c r="S20" s="2"/>
      <c r="T20" s="6">
        <v>6864.7688451461599</v>
      </c>
      <c r="U20" s="2"/>
      <c r="V20" s="7">
        <f t="shared" si="5"/>
        <v>0</v>
      </c>
      <c r="W20" s="2"/>
      <c r="X20" s="6">
        <f t="shared" si="6"/>
        <v>-602.91884514615958</v>
      </c>
      <c r="Y20" s="2"/>
      <c r="Z20" s="7">
        <f t="shared" si="7"/>
        <v>-8.7827989368128925E-2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831.57</v>
      </c>
      <c r="E21" s="2"/>
      <c r="F21" s="7">
        <f t="shared" si="0"/>
        <v>0</v>
      </c>
      <c r="G21" s="2"/>
      <c r="H21" s="6">
        <v>1270.6929638461502</v>
      </c>
      <c r="I21" s="2"/>
      <c r="J21" s="7">
        <f t="shared" si="1"/>
        <v>0</v>
      </c>
      <c r="K21" s="2"/>
      <c r="L21" s="6">
        <f t="shared" si="2"/>
        <v>-439.12296384615013</v>
      </c>
      <c r="M21" s="2"/>
      <c r="N21" s="7">
        <f t="shared" si="3"/>
        <v>-0.3455775520445214</v>
      </c>
      <c r="O21" s="11"/>
      <c r="P21" s="6">
        <v>1578.59</v>
      </c>
      <c r="Q21" s="2"/>
      <c r="R21" s="7">
        <f t="shared" si="4"/>
        <v>0</v>
      </c>
      <c r="S21" s="2"/>
      <c r="T21" s="6">
        <v>2290.40385615384</v>
      </c>
      <c r="U21" s="2"/>
      <c r="V21" s="7">
        <f t="shared" si="5"/>
        <v>0</v>
      </c>
      <c r="W21" s="2"/>
      <c r="X21" s="6">
        <f t="shared" si="6"/>
        <v>-711.81385615384011</v>
      </c>
      <c r="Y21" s="2"/>
      <c r="Z21" s="7">
        <f t="shared" si="7"/>
        <v>-0.31078093683842872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1722.33</v>
      </c>
      <c r="E22" s="2"/>
      <c r="F22" s="7">
        <f t="shared" si="0"/>
        <v>0</v>
      </c>
      <c r="G22" s="2"/>
      <c r="H22" s="6">
        <v>3355.9615384615399</v>
      </c>
      <c r="I22" s="2"/>
      <c r="J22" s="7">
        <f t="shared" si="1"/>
        <v>0</v>
      </c>
      <c r="K22" s="2"/>
      <c r="L22" s="6">
        <f t="shared" si="2"/>
        <v>-1633.63153846154</v>
      </c>
      <c r="M22" s="2"/>
      <c r="N22" s="7">
        <f t="shared" si="3"/>
        <v>-0.48678494069107814</v>
      </c>
      <c r="O22" s="11"/>
      <c r="P22" s="6">
        <v>3379.72</v>
      </c>
      <c r="Q22" s="2"/>
      <c r="R22" s="7">
        <f t="shared" si="4"/>
        <v>0</v>
      </c>
      <c r="S22" s="2"/>
      <c r="T22" s="6">
        <v>7031.5384615384601</v>
      </c>
      <c r="U22" s="2"/>
      <c r="V22" s="7">
        <f t="shared" si="5"/>
        <v>0</v>
      </c>
      <c r="W22" s="2"/>
      <c r="X22" s="6">
        <f t="shared" si="6"/>
        <v>-3651.8184615384603</v>
      </c>
      <c r="Y22" s="2"/>
      <c r="Z22" s="7">
        <f t="shared" si="7"/>
        <v>-0.51934843014987409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140.86000000000001</v>
      </c>
      <c r="E23" s="2"/>
      <c r="F23" s="7">
        <f t="shared" si="0"/>
        <v>0</v>
      </c>
      <c r="G23" s="2"/>
      <c r="H23" s="6">
        <v>178.583876</v>
      </c>
      <c r="I23" s="2"/>
      <c r="J23" s="7">
        <f t="shared" si="1"/>
        <v>0</v>
      </c>
      <c r="K23" s="2"/>
      <c r="L23" s="6">
        <f t="shared" si="2"/>
        <v>-37.72387599999999</v>
      </c>
      <c r="M23" s="2"/>
      <c r="N23" s="7">
        <f t="shared" si="3"/>
        <v>-0.21123898106008177</v>
      </c>
      <c r="O23" s="11"/>
      <c r="P23" s="6">
        <v>245.86</v>
      </c>
      <c r="Q23" s="2"/>
      <c r="R23" s="7">
        <f t="shared" si="4"/>
        <v>0</v>
      </c>
      <c r="S23" s="2"/>
      <c r="T23" s="6">
        <v>321.89459599999998</v>
      </c>
      <c r="U23" s="2"/>
      <c r="V23" s="7">
        <f t="shared" si="5"/>
        <v>0</v>
      </c>
      <c r="W23" s="2"/>
      <c r="X23" s="6">
        <f t="shared" si="6"/>
        <v>-76.034595999999965</v>
      </c>
      <c r="Y23" s="2"/>
      <c r="Z23" s="7">
        <f t="shared" si="7"/>
        <v>-0.23620960694848064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1171.6300000000001</v>
      </c>
      <c r="E24" s="2"/>
      <c r="F24" s="7">
        <f t="shared" si="0"/>
        <v>0</v>
      </c>
      <c r="G24" s="2"/>
      <c r="H24" s="6">
        <v>731.74012923076907</v>
      </c>
      <c r="I24" s="2"/>
      <c r="J24" s="7">
        <f t="shared" si="1"/>
        <v>0</v>
      </c>
      <c r="K24" s="2"/>
      <c r="L24" s="6">
        <f t="shared" si="2"/>
        <v>439.88987076923104</v>
      </c>
      <c r="M24" s="2"/>
      <c r="N24" s="7">
        <f t="shared" si="3"/>
        <v>0.60115586558257883</v>
      </c>
      <c r="O24" s="11"/>
      <c r="P24" s="6">
        <v>2530.9699999999998</v>
      </c>
      <c r="Q24" s="2"/>
      <c r="R24" s="7">
        <f t="shared" si="4"/>
        <v>0</v>
      </c>
      <c r="S24" s="2"/>
      <c r="T24" s="6">
        <v>1646.415290769231</v>
      </c>
      <c r="U24" s="2"/>
      <c r="V24" s="7">
        <f t="shared" si="5"/>
        <v>0</v>
      </c>
      <c r="W24" s="2"/>
      <c r="X24" s="6">
        <f t="shared" si="6"/>
        <v>884.55470923076882</v>
      </c>
      <c r="Y24" s="2"/>
      <c r="Z24" s="7">
        <f t="shared" si="7"/>
        <v>0.53726099009776018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982.38</v>
      </c>
      <c r="E26" s="2"/>
      <c r="F26" s="7">
        <f t="shared" si="0"/>
        <v>0</v>
      </c>
      <c r="G26" s="2"/>
      <c r="H26" s="6">
        <v>545.43030769230802</v>
      </c>
      <c r="I26" s="2"/>
      <c r="J26" s="7">
        <f t="shared" si="1"/>
        <v>0</v>
      </c>
      <c r="K26" s="2"/>
      <c r="L26" s="6">
        <f t="shared" si="2"/>
        <v>436.94969230769198</v>
      </c>
      <c r="M26" s="2"/>
      <c r="N26" s="7">
        <f t="shared" si="3"/>
        <v>0.80111003394073788</v>
      </c>
      <c r="O26" s="11"/>
      <c r="P26" s="6">
        <v>2144.36</v>
      </c>
      <c r="Q26" s="2"/>
      <c r="R26" s="7">
        <f t="shared" si="4"/>
        <v>0</v>
      </c>
      <c r="S26" s="2"/>
      <c r="T26" s="6">
        <v>1227.218192307693</v>
      </c>
      <c r="U26" s="2"/>
      <c r="V26" s="7">
        <f t="shared" si="5"/>
        <v>0</v>
      </c>
      <c r="W26" s="2"/>
      <c r="X26" s="6">
        <f t="shared" si="6"/>
        <v>917.14180769230711</v>
      </c>
      <c r="Y26" s="2"/>
      <c r="Z26" s="7">
        <f t="shared" si="7"/>
        <v>0.74733394064806824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616.29</v>
      </c>
      <c r="E27" s="2"/>
      <c r="F27" s="7">
        <f t="shared" si="0"/>
        <v>0</v>
      </c>
      <c r="G27" s="2"/>
      <c r="H27" s="6">
        <v>1108.6053076923101</v>
      </c>
      <c r="I27" s="2"/>
      <c r="J27" s="7">
        <f t="shared" si="1"/>
        <v>0</v>
      </c>
      <c r="K27" s="2"/>
      <c r="L27" s="6">
        <f t="shared" si="2"/>
        <v>-492.31530769231017</v>
      </c>
      <c r="M27" s="2"/>
      <c r="N27" s="7">
        <f t="shared" si="3"/>
        <v>-0.4440852883134046</v>
      </c>
      <c r="O27" s="11"/>
      <c r="P27" s="6">
        <v>1374.62</v>
      </c>
      <c r="Q27" s="2"/>
      <c r="R27" s="7">
        <f t="shared" si="4"/>
        <v>0</v>
      </c>
      <c r="S27" s="2"/>
      <c r="T27" s="6">
        <v>2186.9806923076899</v>
      </c>
      <c r="U27" s="2"/>
      <c r="V27" s="7">
        <f t="shared" si="5"/>
        <v>0</v>
      </c>
      <c r="W27" s="2"/>
      <c r="X27" s="6">
        <f t="shared" si="6"/>
        <v>-812.36069230768999</v>
      </c>
      <c r="Y27" s="2"/>
      <c r="Z27" s="7">
        <f t="shared" si="7"/>
        <v>-0.37145307005453782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90.74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90.74</v>
      </c>
      <c r="M28" s="2"/>
      <c r="N28" s="7">
        <f t="shared" si="3"/>
        <v>0</v>
      </c>
      <c r="O28" s="11"/>
      <c r="P28" s="6">
        <v>169.09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169.09</v>
      </c>
      <c r="Y28" s="2"/>
      <c r="Z28" s="7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65252.41</v>
      </c>
      <c r="E29" s="1"/>
      <c r="F29" s="5">
        <f t="shared" ref="F29:F39" si="8">IF(D$12=0,0,D29/D$12)</f>
        <v>0</v>
      </c>
      <c r="G29" s="1"/>
      <c r="H29" s="1">
        <f>SUM(OSRRefH22_1x_0)</f>
        <v>67635.245538461546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-2382.8355384615425</v>
      </c>
      <c r="M29" s="1"/>
      <c r="N29" s="5">
        <f t="shared" ref="N29:N39" si="11">IF(H29=0,0,L29/H29)</f>
        <v>-3.5230677725661783E-2</v>
      </c>
      <c r="O29" s="14"/>
      <c r="P29" s="1">
        <f>SUM(OSRRefP22_1x_0)</f>
        <v>109075.02</v>
      </c>
      <c r="Q29" s="1"/>
      <c r="R29" s="5">
        <f t="shared" ref="R29:R39" si="12">IF(P$12=0,0,P29/P$12)</f>
        <v>0</v>
      </c>
      <c r="S29" s="1"/>
      <c r="T29" s="1">
        <f>SUM(OSRRefT22_1x_0)</f>
        <v>121441.17746153846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-12366.15746153846</v>
      </c>
      <c r="Y29" s="1"/>
      <c r="Z29" s="5">
        <f t="shared" ref="Z29:Z39" si="15">IF(T29=0,0,X29/T29)</f>
        <v>-0.10182837255061147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4205.74</v>
      </c>
      <c r="E30" s="2"/>
      <c r="F30" s="7">
        <f t="shared" si="8"/>
        <v>0</v>
      </c>
      <c r="G30" s="2"/>
      <c r="H30" s="6">
        <v>3807.6923076923099</v>
      </c>
      <c r="I30" s="2"/>
      <c r="J30" s="7">
        <f t="shared" si="9"/>
        <v>0</v>
      </c>
      <c r="K30" s="2"/>
      <c r="L30" s="6">
        <f t="shared" si="10"/>
        <v>398.04769230768989</v>
      </c>
      <c r="M30" s="2"/>
      <c r="N30" s="7">
        <f t="shared" si="11"/>
        <v>0.10453777777777708</v>
      </c>
      <c r="O30" s="11"/>
      <c r="P30" s="6">
        <v>9042.91</v>
      </c>
      <c r="Q30" s="2"/>
      <c r="R30" s="7">
        <f t="shared" si="12"/>
        <v>0</v>
      </c>
      <c r="S30" s="2"/>
      <c r="T30" s="6">
        <v>8567.3076923077006</v>
      </c>
      <c r="U30" s="2"/>
      <c r="V30" s="7">
        <f t="shared" si="13"/>
        <v>0</v>
      </c>
      <c r="W30" s="2"/>
      <c r="X30" s="6">
        <f t="shared" si="14"/>
        <v>475.60230769229929</v>
      </c>
      <c r="Y30" s="2"/>
      <c r="Z30" s="7">
        <f t="shared" si="15"/>
        <v>5.5513625140290776E-2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9219.92</v>
      </c>
      <c r="E31" s="2"/>
      <c r="F31" s="7">
        <f t="shared" si="8"/>
        <v>0</v>
      </c>
      <c r="G31" s="2"/>
      <c r="H31" s="6">
        <v>3850.0532307692297</v>
      </c>
      <c r="I31" s="2"/>
      <c r="J31" s="7">
        <f t="shared" si="9"/>
        <v>0</v>
      </c>
      <c r="K31" s="2"/>
      <c r="L31" s="6">
        <f t="shared" si="10"/>
        <v>5369.8667692307699</v>
      </c>
      <c r="M31" s="2"/>
      <c r="N31" s="7">
        <f t="shared" si="11"/>
        <v>1.3947513053365981</v>
      </c>
      <c r="O31" s="11"/>
      <c r="P31" s="6">
        <v>18076.22</v>
      </c>
      <c r="Q31" s="2"/>
      <c r="R31" s="7">
        <f t="shared" si="12"/>
        <v>0</v>
      </c>
      <c r="S31" s="2"/>
      <c r="T31" s="6">
        <v>8662.6197692307705</v>
      </c>
      <c r="U31" s="2"/>
      <c r="V31" s="7">
        <f t="shared" si="13"/>
        <v>0</v>
      </c>
      <c r="W31" s="2"/>
      <c r="X31" s="6">
        <f t="shared" si="14"/>
        <v>9413.6002307692306</v>
      </c>
      <c r="Y31" s="2"/>
      <c r="Z31" s="7">
        <f t="shared" si="15"/>
        <v>1.0866920725536064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12080</v>
      </c>
      <c r="I33" s="2"/>
      <c r="J33" s="7">
        <f t="shared" si="9"/>
        <v>0</v>
      </c>
      <c r="K33" s="2"/>
      <c r="L33" s="6">
        <f t="shared" si="10"/>
        <v>-12080</v>
      </c>
      <c r="M33" s="2"/>
      <c r="N33" s="7">
        <f t="shared" si="11"/>
        <v>-1</v>
      </c>
      <c r="O33" s="11"/>
      <c r="P33" s="6">
        <v>3465.6</v>
      </c>
      <c r="Q33" s="2"/>
      <c r="R33" s="7">
        <f t="shared" si="12"/>
        <v>0</v>
      </c>
      <c r="S33" s="2"/>
      <c r="T33" s="6">
        <v>27180</v>
      </c>
      <c r="U33" s="2"/>
      <c r="V33" s="7">
        <f t="shared" si="13"/>
        <v>0</v>
      </c>
      <c r="W33" s="2"/>
      <c r="X33" s="6">
        <f t="shared" si="14"/>
        <v>-23714.400000000001</v>
      </c>
      <c r="Y33" s="2"/>
      <c r="Z33" s="7">
        <f t="shared" si="15"/>
        <v>-0.8724944812362031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11519.7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11519.7</v>
      </c>
      <c r="M34" s="2"/>
      <c r="N34" s="7">
        <f t="shared" si="11"/>
        <v>0</v>
      </c>
      <c r="O34" s="11"/>
      <c r="P34" s="6">
        <v>19981.8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19981.8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1927.34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1927.34</v>
      </c>
      <c r="M35" s="2"/>
      <c r="N35" s="7">
        <f t="shared" si="11"/>
        <v>0</v>
      </c>
      <c r="O35" s="11"/>
      <c r="P35" s="6">
        <v>3473.26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3473.26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38379.71</v>
      </c>
      <c r="E36" s="2"/>
      <c r="F36" s="7">
        <f t="shared" si="8"/>
        <v>0</v>
      </c>
      <c r="G36" s="2"/>
      <c r="H36" s="6">
        <v>18811</v>
      </c>
      <c r="I36" s="2"/>
      <c r="J36" s="7">
        <f t="shared" si="9"/>
        <v>0</v>
      </c>
      <c r="K36" s="2"/>
      <c r="L36" s="6">
        <f t="shared" si="10"/>
        <v>19568.71</v>
      </c>
      <c r="M36" s="2"/>
      <c r="N36" s="7">
        <f t="shared" si="11"/>
        <v>1.0402801552283238</v>
      </c>
      <c r="O36" s="11"/>
      <c r="P36" s="6">
        <v>55035.23</v>
      </c>
      <c r="Q36" s="2"/>
      <c r="R36" s="7">
        <f t="shared" si="12"/>
        <v>0</v>
      </c>
      <c r="S36" s="2"/>
      <c r="T36" s="6">
        <v>42926</v>
      </c>
      <c r="U36" s="2"/>
      <c r="V36" s="7">
        <f t="shared" si="13"/>
        <v>0</v>
      </c>
      <c r="W36" s="2"/>
      <c r="X36" s="6">
        <f t="shared" si="14"/>
        <v>12109.230000000003</v>
      </c>
      <c r="Y36" s="2"/>
      <c r="Z36" s="7">
        <f t="shared" si="15"/>
        <v>0.28209546661696883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29086.5</v>
      </c>
      <c r="I37" s="2"/>
      <c r="J37" s="7">
        <f t="shared" si="9"/>
        <v>0</v>
      </c>
      <c r="K37" s="2"/>
      <c r="L37" s="6">
        <f t="shared" si="10"/>
        <v>-29086.5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34105.25</v>
      </c>
      <c r="U37" s="2"/>
      <c r="V37" s="7">
        <f t="shared" si="13"/>
        <v>0</v>
      </c>
      <c r="W37" s="2"/>
      <c r="X37" s="6">
        <f t="shared" si="14"/>
        <v>-34105.25</v>
      </c>
      <c r="Y37" s="2"/>
      <c r="Z37" s="7">
        <f t="shared" si="15"/>
        <v>-1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8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SUM(OSRRefD22_2x_0)</f>
        <v>61.95</v>
      </c>
      <c r="E40" s="1"/>
      <c r="F40" s="5">
        <f t="shared" ref="F40:F42" si="16">IF(D$12=0,0,D40/D$12)</f>
        <v>0</v>
      </c>
      <c r="G40" s="1"/>
      <c r="H40" s="1">
        <f>SUM(OSRRefH22_2x_0)</f>
        <v>100</v>
      </c>
      <c r="I40" s="1"/>
      <c r="J40" s="5">
        <f t="shared" ref="J40:J42" si="17">IF(H$12=0,0,H40/H$12)</f>
        <v>0</v>
      </c>
      <c r="K40" s="1"/>
      <c r="L40" s="1">
        <f t="shared" ref="L40:L42" si="18">+D40-H40</f>
        <v>-38.049999999999997</v>
      </c>
      <c r="M40" s="1"/>
      <c r="N40" s="5">
        <f t="shared" ref="N40:N42" si="19">IF(H40=0,0,L40/H40)</f>
        <v>-0.38049999999999995</v>
      </c>
      <c r="O40" s="14"/>
      <c r="P40" s="1">
        <f>SUM(OSRRefP22_2x_0)</f>
        <v>67.83</v>
      </c>
      <c r="Q40" s="1"/>
      <c r="R40" s="5">
        <f t="shared" ref="R40:R42" si="20">IF(P$12=0,0,P40/P$12)</f>
        <v>0</v>
      </c>
      <c r="S40" s="1"/>
      <c r="T40" s="1">
        <f>SUM(OSRRefT22_2x_0)</f>
        <v>200</v>
      </c>
      <c r="U40" s="1"/>
      <c r="V40" s="5">
        <f t="shared" ref="V40:V42" si="21">IF(T$12=0,0,T40/T$12)</f>
        <v>0</v>
      </c>
      <c r="W40" s="1"/>
      <c r="X40" s="1">
        <f t="shared" ref="X40:X42" si="22">+P40-T40</f>
        <v>-132.17000000000002</v>
      </c>
      <c r="Y40" s="1"/>
      <c r="Z40" s="5">
        <f t="shared" ref="Z40:Z42" si="23">IF(T40=0,0,X40/T40)</f>
        <v>-0.66085000000000005</v>
      </c>
    </row>
    <row r="41" spans="1:26" s="24" customFormat="1" hidden="1" outlineLevel="2" x14ac:dyDescent="0.25">
      <c r="A41" s="27"/>
      <c r="B41" s="11" t="str">
        <f>CONCATENATE("          ", "6272", " - ", "CASH (OVER/SHORT)")</f>
        <v xml:space="preserve">          6272 - CASH (OVER/SHORT)</v>
      </c>
      <c r="C41" s="11"/>
      <c r="D41" s="6">
        <v>61.95</v>
      </c>
      <c r="E41" s="2"/>
      <c r="F41" s="7">
        <f t="shared" si="16"/>
        <v>0</v>
      </c>
      <c r="G41" s="2"/>
      <c r="H41" s="6">
        <v>50</v>
      </c>
      <c r="I41" s="2"/>
      <c r="J41" s="7">
        <f t="shared" si="17"/>
        <v>0</v>
      </c>
      <c r="K41" s="2"/>
      <c r="L41" s="6">
        <f t="shared" si="18"/>
        <v>11.950000000000003</v>
      </c>
      <c r="M41" s="2"/>
      <c r="N41" s="7">
        <f t="shared" si="19"/>
        <v>0.23900000000000005</v>
      </c>
      <c r="O41" s="11"/>
      <c r="P41" s="6">
        <v>67.83</v>
      </c>
      <c r="Q41" s="2"/>
      <c r="R41" s="7">
        <f t="shared" si="20"/>
        <v>0</v>
      </c>
      <c r="S41" s="2"/>
      <c r="T41" s="6">
        <v>100</v>
      </c>
      <c r="U41" s="2"/>
      <c r="V41" s="7">
        <f t="shared" si="21"/>
        <v>0</v>
      </c>
      <c r="W41" s="2"/>
      <c r="X41" s="6">
        <f t="shared" si="22"/>
        <v>-32.17</v>
      </c>
      <c r="Y41" s="2"/>
      <c r="Z41" s="7">
        <f t="shared" si="23"/>
        <v>-0.32170000000000004</v>
      </c>
    </row>
    <row r="42" spans="1:26" s="24" customFormat="1" hidden="1" outlineLevel="2" x14ac:dyDescent="0.25">
      <c r="A42" s="27"/>
      <c r="B42" s="11" t="str">
        <f>CONCATENATE("          ", "6342", " - ", "BAD DEBT")</f>
        <v xml:space="preserve">          6342 - BAD DEBT</v>
      </c>
      <c r="C42" s="11"/>
      <c r="D42" s="6"/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-50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100</v>
      </c>
      <c r="U42" s="2"/>
      <c r="V42" s="7">
        <f t="shared" si="21"/>
        <v>0</v>
      </c>
      <c r="W42" s="2"/>
      <c r="X42" s="6">
        <f t="shared" si="22"/>
        <v>-100</v>
      </c>
      <c r="Y42" s="2"/>
      <c r="Z42" s="7">
        <f t="shared" si="23"/>
        <v>-1</v>
      </c>
    </row>
    <row r="43" spans="1:26" s="29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21627.510000000002</v>
      </c>
      <c r="E43" s="1"/>
      <c r="F43" s="5">
        <f t="shared" ref="F43:F47" si="24">IF(D$12=0,0,D43/D$12)</f>
        <v>0</v>
      </c>
      <c r="G43" s="1"/>
      <c r="H43" s="1">
        <f>SUM(OSRRefH22_3x_0)</f>
        <v>33000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-11372.489999999998</v>
      </c>
      <c r="M43" s="1"/>
      <c r="N43" s="5">
        <f t="shared" ref="N43:N47" si="27">IF(H43=0,0,L43/H43)</f>
        <v>-0.34462090909090903</v>
      </c>
      <c r="O43" s="14"/>
      <c r="P43" s="1">
        <f>SUM(OSRRefP22_3x_0)</f>
        <v>24437.83</v>
      </c>
      <c r="Q43" s="1"/>
      <c r="R43" s="5">
        <f t="shared" ref="R43:R47" si="28">IF(P$12=0,0,P43/P$12)</f>
        <v>0</v>
      </c>
      <c r="S43" s="1"/>
      <c r="T43" s="1">
        <f>SUM(OSRRefT22_3x_0)</f>
        <v>37000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-12562.169999999998</v>
      </c>
      <c r="Y43" s="1"/>
      <c r="Z43" s="5">
        <f t="shared" ref="Z43:Z47" si="31">IF(T43=0,0,X43/T43)</f>
        <v>-0.33951810810810806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21627.510000000002</v>
      </c>
      <c r="E44" s="2"/>
      <c r="F44" s="7">
        <f t="shared" si="24"/>
        <v>0</v>
      </c>
      <c r="G44" s="2"/>
      <c r="H44" s="6">
        <v>33000</v>
      </c>
      <c r="I44" s="2"/>
      <c r="J44" s="7">
        <f t="shared" si="25"/>
        <v>0</v>
      </c>
      <c r="K44" s="2"/>
      <c r="L44" s="6">
        <f t="shared" si="26"/>
        <v>-11372.489999999998</v>
      </c>
      <c r="M44" s="2"/>
      <c r="N44" s="7">
        <f t="shared" si="27"/>
        <v>-0.34462090909090903</v>
      </c>
      <c r="O44" s="11"/>
      <c r="P44" s="6">
        <v>24437.83</v>
      </c>
      <c r="Q44" s="2"/>
      <c r="R44" s="7">
        <f t="shared" si="28"/>
        <v>0</v>
      </c>
      <c r="S44" s="2"/>
      <c r="T44" s="6">
        <v>37000</v>
      </c>
      <c r="U44" s="2"/>
      <c r="V44" s="7">
        <f t="shared" si="29"/>
        <v>0</v>
      </c>
      <c r="W44" s="2"/>
      <c r="X44" s="6">
        <f t="shared" si="30"/>
        <v>-12562.169999999998</v>
      </c>
      <c r="Y44" s="2"/>
      <c r="Z44" s="7">
        <f t="shared" si="31"/>
        <v>-0.33951810810810806</v>
      </c>
    </row>
    <row r="45" spans="1:26" s="29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30919.45</v>
      </c>
      <c r="E45" s="1"/>
      <c r="F45" s="5">
        <f t="shared" si="24"/>
        <v>0</v>
      </c>
      <c r="G45" s="1"/>
      <c r="H45" s="1">
        <f>SUM(OSRRefH22_4x_0)</f>
        <v>30460</v>
      </c>
      <c r="I45" s="1"/>
      <c r="J45" s="5">
        <f t="shared" si="25"/>
        <v>0</v>
      </c>
      <c r="K45" s="1"/>
      <c r="L45" s="1">
        <f t="shared" si="26"/>
        <v>459.45000000000073</v>
      </c>
      <c r="M45" s="1"/>
      <c r="N45" s="5">
        <f t="shared" si="27"/>
        <v>1.5083716349310595E-2</v>
      </c>
      <c r="O45" s="14"/>
      <c r="P45" s="1">
        <f>SUM(OSRRefP22_4x_0)</f>
        <v>61096.430000000008</v>
      </c>
      <c r="Q45" s="1"/>
      <c r="R45" s="5">
        <f t="shared" si="28"/>
        <v>0</v>
      </c>
      <c r="S45" s="1"/>
      <c r="T45" s="1">
        <f>SUM(OSRRefT22_4x_0)</f>
        <v>60920</v>
      </c>
      <c r="U45" s="1"/>
      <c r="V45" s="5">
        <f t="shared" si="29"/>
        <v>0</v>
      </c>
      <c r="W45" s="1"/>
      <c r="X45" s="1">
        <f t="shared" si="30"/>
        <v>176.43000000000757</v>
      </c>
      <c r="Y45" s="1"/>
      <c r="Z45" s="5">
        <f t="shared" si="31"/>
        <v>2.8960932370322976E-3</v>
      </c>
    </row>
    <row r="46" spans="1:26" s="24" customFormat="1" hidden="1" outlineLevel="2" x14ac:dyDescent="0.25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16396.52</v>
      </c>
      <c r="M46" s="2"/>
      <c r="N46" s="7">
        <f t="shared" si="27"/>
        <v>0</v>
      </c>
      <c r="O46" s="11"/>
      <c r="P46" s="6">
        <v>32793.040000000001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32793.040000000001</v>
      </c>
      <c r="Y46" s="2"/>
      <c r="Z46" s="7">
        <f t="shared" si="31"/>
        <v>0</v>
      </c>
    </row>
    <row r="47" spans="1:26" s="24" customFormat="1" hidden="1" outlineLevel="2" x14ac:dyDescent="0.25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14522.93</v>
      </c>
      <c r="E47" s="2"/>
      <c r="F47" s="7">
        <f t="shared" si="24"/>
        <v>0</v>
      </c>
      <c r="G47" s="2"/>
      <c r="H47" s="6">
        <v>30460</v>
      </c>
      <c r="I47" s="2"/>
      <c r="J47" s="7">
        <f t="shared" si="25"/>
        <v>0</v>
      </c>
      <c r="K47" s="2"/>
      <c r="L47" s="6">
        <f t="shared" si="26"/>
        <v>-15937.07</v>
      </c>
      <c r="M47" s="2"/>
      <c r="N47" s="7">
        <f t="shared" si="27"/>
        <v>-0.52321306631648057</v>
      </c>
      <c r="O47" s="11"/>
      <c r="P47" s="6">
        <v>28303.390000000003</v>
      </c>
      <c r="Q47" s="2"/>
      <c r="R47" s="7">
        <f t="shared" si="28"/>
        <v>0</v>
      </c>
      <c r="S47" s="2"/>
      <c r="T47" s="6">
        <v>60920</v>
      </c>
      <c r="U47" s="2"/>
      <c r="V47" s="7">
        <f t="shared" si="29"/>
        <v>0</v>
      </c>
      <c r="W47" s="2"/>
      <c r="X47" s="6">
        <f t="shared" si="30"/>
        <v>-32616.609999999997</v>
      </c>
      <c r="Y47" s="2"/>
      <c r="Z47" s="7">
        <f t="shared" si="31"/>
        <v>-0.53540068942875896</v>
      </c>
    </row>
    <row r="48" spans="1:26" s="29" customFormat="1" outlineLevel="1" collapsed="1" x14ac:dyDescent="0.25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0</v>
      </c>
      <c r="E48" s="1"/>
      <c r="F48" s="5">
        <f t="shared" ref="F48:F68" si="32">IF(D$12=0,0,D48/D$12)</f>
        <v>0</v>
      </c>
      <c r="G48" s="1"/>
      <c r="H48" s="1">
        <f>SUM(OSRRefH22_5x_0)</f>
        <v>1000</v>
      </c>
      <c r="I48" s="1"/>
      <c r="J48" s="5">
        <f t="shared" ref="J48:J68" si="33">IF(H$12=0,0,H48/H$12)</f>
        <v>0</v>
      </c>
      <c r="K48" s="1"/>
      <c r="L48" s="1">
        <f t="shared" ref="L48:L68" si="34">+D48-H48</f>
        <v>-1000</v>
      </c>
      <c r="M48" s="1"/>
      <c r="N48" s="5">
        <f t="shared" ref="N48:N68" si="35">IF(H48=0,0,L48/H48)</f>
        <v>-1</v>
      </c>
      <c r="O48" s="14"/>
      <c r="P48" s="1">
        <f>SUM(OSRRefP22_5x_0)</f>
        <v>0</v>
      </c>
      <c r="Q48" s="1"/>
      <c r="R48" s="5">
        <f t="shared" ref="R48:R68" si="36">IF(P$12=0,0,P48/P$12)</f>
        <v>0</v>
      </c>
      <c r="S48" s="1"/>
      <c r="T48" s="1">
        <f>SUM(OSRRefT22_5x_0)</f>
        <v>2000</v>
      </c>
      <c r="U48" s="1"/>
      <c r="V48" s="5">
        <f t="shared" ref="V48:V68" si="37">IF(T$12=0,0,T48/T$12)</f>
        <v>0</v>
      </c>
      <c r="W48" s="1"/>
      <c r="X48" s="1">
        <f t="shared" ref="X48:X68" si="38">+P48-T48</f>
        <v>-2000</v>
      </c>
      <c r="Y48" s="1"/>
      <c r="Z48" s="5">
        <f t="shared" ref="Z48:Z68" si="39">IF(T48=0,0,X48/T48)</f>
        <v>-1</v>
      </c>
    </row>
    <row r="49" spans="1:26" s="24" customFormat="1" hidden="1" outlineLevel="2" x14ac:dyDescent="0.25">
      <c r="A49" s="27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32"/>
        <v>0</v>
      </c>
      <c r="G49" s="2"/>
      <c r="H49" s="6">
        <v>1000</v>
      </c>
      <c r="I49" s="2"/>
      <c r="J49" s="7">
        <f t="shared" si="33"/>
        <v>0</v>
      </c>
      <c r="K49" s="2"/>
      <c r="L49" s="6">
        <f t="shared" si="34"/>
        <v>-1000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2000</v>
      </c>
      <c r="U49" s="2"/>
      <c r="V49" s="7">
        <f t="shared" si="37"/>
        <v>0</v>
      </c>
      <c r="W49" s="2"/>
      <c r="X49" s="6">
        <f t="shared" si="38"/>
        <v>-2000</v>
      </c>
      <c r="Y49" s="2"/>
      <c r="Z49" s="7">
        <f t="shared" si="39"/>
        <v>-1</v>
      </c>
    </row>
    <row r="50" spans="1:26" s="29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si="32"/>
        <v>0</v>
      </c>
      <c r="G50" s="1"/>
      <c r="H50" s="1">
        <f>SUM(OSRRefH22_6x_0)</f>
        <v>150</v>
      </c>
      <c r="I50" s="1"/>
      <c r="J50" s="5">
        <f t="shared" si="33"/>
        <v>0</v>
      </c>
      <c r="K50" s="1"/>
      <c r="L50" s="1">
        <f t="shared" si="34"/>
        <v>-150</v>
      </c>
      <c r="M50" s="1"/>
      <c r="N50" s="5">
        <f t="shared" si="35"/>
        <v>-1</v>
      </c>
      <c r="O50" s="14"/>
      <c r="P50" s="1">
        <f>SUM(OSRRefP22_6x_0)</f>
        <v>0</v>
      </c>
      <c r="Q50" s="1"/>
      <c r="R50" s="5">
        <f t="shared" si="36"/>
        <v>0</v>
      </c>
      <c r="S50" s="1"/>
      <c r="T50" s="1">
        <f>SUM(OSRRefT22_6x_0)</f>
        <v>300</v>
      </c>
      <c r="U50" s="1"/>
      <c r="V50" s="5">
        <f t="shared" si="37"/>
        <v>0</v>
      </c>
      <c r="W50" s="1"/>
      <c r="X50" s="1">
        <f t="shared" si="38"/>
        <v>-300</v>
      </c>
      <c r="Y50" s="1"/>
      <c r="Z50" s="5">
        <f t="shared" si="39"/>
        <v>-1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2"/>
        <v>0</v>
      </c>
      <c r="G51" s="2"/>
      <c r="H51" s="6">
        <v>150</v>
      </c>
      <c r="I51" s="2"/>
      <c r="J51" s="7">
        <f t="shared" si="33"/>
        <v>0</v>
      </c>
      <c r="K51" s="2"/>
      <c r="L51" s="6">
        <f t="shared" si="34"/>
        <v>-150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300</v>
      </c>
      <c r="U51" s="2"/>
      <c r="V51" s="7">
        <f t="shared" si="37"/>
        <v>0</v>
      </c>
      <c r="W51" s="2"/>
      <c r="X51" s="6">
        <f t="shared" si="38"/>
        <v>-300</v>
      </c>
      <c r="Y51" s="2"/>
      <c r="Z51" s="7">
        <f t="shared" si="39"/>
        <v>-1</v>
      </c>
    </row>
    <row r="52" spans="1:26" s="29" customFormat="1" outlineLevel="1" collapsed="1" x14ac:dyDescent="0.25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91.26</v>
      </c>
      <c r="E52" s="1"/>
      <c r="F52" s="5">
        <f t="shared" si="32"/>
        <v>0</v>
      </c>
      <c r="G52" s="1"/>
      <c r="H52" s="1">
        <f>SUM(OSRRefH22_7x_0)</f>
        <v>1700</v>
      </c>
      <c r="I52" s="1"/>
      <c r="J52" s="5">
        <f t="shared" si="33"/>
        <v>0</v>
      </c>
      <c r="K52" s="1"/>
      <c r="L52" s="1">
        <f t="shared" si="34"/>
        <v>-1608.74</v>
      </c>
      <c r="M52" s="1"/>
      <c r="N52" s="5">
        <f t="shared" si="35"/>
        <v>-0.94631764705882349</v>
      </c>
      <c r="O52" s="14"/>
      <c r="P52" s="1">
        <f>SUM(OSRRefP22_7x_0)</f>
        <v>182.52</v>
      </c>
      <c r="Q52" s="1"/>
      <c r="R52" s="5">
        <f t="shared" si="36"/>
        <v>0</v>
      </c>
      <c r="S52" s="1"/>
      <c r="T52" s="1">
        <f>SUM(OSRRefT22_7x_0)</f>
        <v>3400</v>
      </c>
      <c r="U52" s="1"/>
      <c r="V52" s="5">
        <f t="shared" si="37"/>
        <v>0</v>
      </c>
      <c r="W52" s="1"/>
      <c r="X52" s="1">
        <f t="shared" si="38"/>
        <v>-3217.48</v>
      </c>
      <c r="Y52" s="1"/>
      <c r="Z52" s="5">
        <f t="shared" si="39"/>
        <v>-0.94631764705882349</v>
      </c>
    </row>
    <row r="53" spans="1:26" s="24" customFormat="1" hidden="1" outlineLevel="2" x14ac:dyDescent="0.25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91.26</v>
      </c>
      <c r="E53" s="2"/>
      <c r="F53" s="7">
        <f t="shared" si="32"/>
        <v>0</v>
      </c>
      <c r="G53" s="2"/>
      <c r="H53" s="6">
        <v>1700</v>
      </c>
      <c r="I53" s="2"/>
      <c r="J53" s="7">
        <f t="shared" si="33"/>
        <v>0</v>
      </c>
      <c r="K53" s="2"/>
      <c r="L53" s="6">
        <f t="shared" si="34"/>
        <v>-1608.74</v>
      </c>
      <c r="M53" s="2"/>
      <c r="N53" s="7">
        <f t="shared" si="35"/>
        <v>-0.94631764705882349</v>
      </c>
      <c r="O53" s="11"/>
      <c r="P53" s="6">
        <v>182.52</v>
      </c>
      <c r="Q53" s="2"/>
      <c r="R53" s="7">
        <f t="shared" si="36"/>
        <v>0</v>
      </c>
      <c r="S53" s="2"/>
      <c r="T53" s="6">
        <v>3400</v>
      </c>
      <c r="U53" s="2"/>
      <c r="V53" s="7">
        <f t="shared" si="37"/>
        <v>0</v>
      </c>
      <c r="W53" s="2"/>
      <c r="X53" s="6">
        <f t="shared" si="38"/>
        <v>-3217.48</v>
      </c>
      <c r="Y53" s="2"/>
      <c r="Z53" s="7">
        <f t="shared" si="39"/>
        <v>-0.94631764705882349</v>
      </c>
    </row>
    <row r="54" spans="1:26" s="29" customFormat="1" outlineLevel="1" collapsed="1" x14ac:dyDescent="0.25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315.95</v>
      </c>
      <c r="E54" s="1"/>
      <c r="F54" s="5">
        <f t="shared" si="32"/>
        <v>0</v>
      </c>
      <c r="G54" s="1"/>
      <c r="H54" s="1">
        <f>SUM(OSRRefH22_8x_0)</f>
        <v>10</v>
      </c>
      <c r="I54" s="1"/>
      <c r="J54" s="5">
        <f t="shared" si="33"/>
        <v>0</v>
      </c>
      <c r="K54" s="1"/>
      <c r="L54" s="1">
        <f t="shared" si="34"/>
        <v>305.95</v>
      </c>
      <c r="M54" s="1"/>
      <c r="N54" s="5">
        <f t="shared" si="35"/>
        <v>30.594999999999999</v>
      </c>
      <c r="O54" s="14"/>
      <c r="P54" s="1">
        <f>SUM(OSRRefP22_8x_0)</f>
        <v>315.95</v>
      </c>
      <c r="Q54" s="1"/>
      <c r="R54" s="5">
        <f t="shared" si="36"/>
        <v>0</v>
      </c>
      <c r="S54" s="1"/>
      <c r="T54" s="1">
        <f>SUM(OSRRefT22_8x_0)</f>
        <v>20</v>
      </c>
      <c r="U54" s="1"/>
      <c r="V54" s="5">
        <f t="shared" si="37"/>
        <v>0</v>
      </c>
      <c r="W54" s="1"/>
      <c r="X54" s="1">
        <f t="shared" si="38"/>
        <v>295.95</v>
      </c>
      <c r="Y54" s="1"/>
      <c r="Z54" s="5">
        <f t="shared" si="39"/>
        <v>14.797499999999999</v>
      </c>
    </row>
    <row r="55" spans="1:26" s="24" customFormat="1" hidden="1" outlineLevel="2" x14ac:dyDescent="0.25">
      <c r="A55" s="27"/>
      <c r="B55" s="11" t="str">
        <f>CONCATENATE("          ", "6307", " - ", "POSTAGE")</f>
        <v xml:space="preserve">          6307 - POSTAGE</v>
      </c>
      <c r="C55" s="11"/>
      <c r="D55" s="6">
        <v>315.95</v>
      </c>
      <c r="E55" s="2"/>
      <c r="F55" s="7">
        <f t="shared" si="32"/>
        <v>0</v>
      </c>
      <c r="G55" s="2"/>
      <c r="H55" s="6">
        <v>10</v>
      </c>
      <c r="I55" s="2"/>
      <c r="J55" s="7">
        <f t="shared" si="33"/>
        <v>0</v>
      </c>
      <c r="K55" s="2"/>
      <c r="L55" s="6">
        <f t="shared" si="34"/>
        <v>305.95</v>
      </c>
      <c r="M55" s="2"/>
      <c r="N55" s="7">
        <f t="shared" si="35"/>
        <v>30.594999999999999</v>
      </c>
      <c r="O55" s="11"/>
      <c r="P55" s="6">
        <v>315.95</v>
      </c>
      <c r="Q55" s="2"/>
      <c r="R55" s="7">
        <f t="shared" si="36"/>
        <v>0</v>
      </c>
      <c r="S55" s="2"/>
      <c r="T55" s="6">
        <v>20</v>
      </c>
      <c r="U55" s="2"/>
      <c r="V55" s="7">
        <f t="shared" si="37"/>
        <v>0</v>
      </c>
      <c r="W55" s="2"/>
      <c r="X55" s="6">
        <f t="shared" si="38"/>
        <v>295.95</v>
      </c>
      <c r="Y55" s="2"/>
      <c r="Z55" s="7">
        <f t="shared" si="39"/>
        <v>14.797499999999999</v>
      </c>
    </row>
    <row r="56" spans="1:26" s="29" customFormat="1" outlineLevel="1" collapsed="1" x14ac:dyDescent="0.25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113.26</v>
      </c>
      <c r="E56" s="1"/>
      <c r="F56" s="5">
        <f t="shared" si="32"/>
        <v>0</v>
      </c>
      <c r="G56" s="1"/>
      <c r="H56" s="1">
        <f>SUM(OSRRefH22_9x_0)</f>
        <v>500</v>
      </c>
      <c r="I56" s="1"/>
      <c r="J56" s="5">
        <f t="shared" si="33"/>
        <v>0</v>
      </c>
      <c r="K56" s="1"/>
      <c r="L56" s="1">
        <f t="shared" si="34"/>
        <v>-386.74</v>
      </c>
      <c r="M56" s="1"/>
      <c r="N56" s="5">
        <f t="shared" si="35"/>
        <v>-0.77348000000000006</v>
      </c>
      <c r="O56" s="14"/>
      <c r="P56" s="1">
        <f>SUM(OSRRefP22_9x_0)</f>
        <v>867.81</v>
      </c>
      <c r="Q56" s="1"/>
      <c r="R56" s="5">
        <f t="shared" si="36"/>
        <v>0</v>
      </c>
      <c r="S56" s="1"/>
      <c r="T56" s="1">
        <f>SUM(OSRRefT22_9x_0)</f>
        <v>1000</v>
      </c>
      <c r="U56" s="1"/>
      <c r="V56" s="5">
        <f t="shared" si="37"/>
        <v>0</v>
      </c>
      <c r="W56" s="1"/>
      <c r="X56" s="1">
        <f t="shared" si="38"/>
        <v>-132.19000000000005</v>
      </c>
      <c r="Y56" s="1"/>
      <c r="Z56" s="5">
        <f t="shared" si="39"/>
        <v>-0.13219000000000006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113.26</v>
      </c>
      <c r="E57" s="2"/>
      <c r="F57" s="7">
        <f t="shared" si="32"/>
        <v>0</v>
      </c>
      <c r="G57" s="2"/>
      <c r="H57" s="6">
        <v>500</v>
      </c>
      <c r="I57" s="2"/>
      <c r="J57" s="7">
        <f t="shared" si="33"/>
        <v>0</v>
      </c>
      <c r="K57" s="2"/>
      <c r="L57" s="6">
        <f t="shared" si="34"/>
        <v>-386.74</v>
      </c>
      <c r="M57" s="2"/>
      <c r="N57" s="7">
        <f t="shared" si="35"/>
        <v>-0.77348000000000006</v>
      </c>
      <c r="O57" s="11"/>
      <c r="P57" s="6">
        <v>867.81</v>
      </c>
      <c r="Q57" s="2"/>
      <c r="R57" s="7">
        <f t="shared" si="36"/>
        <v>0</v>
      </c>
      <c r="S57" s="2"/>
      <c r="T57" s="6">
        <v>1000</v>
      </c>
      <c r="U57" s="2"/>
      <c r="V57" s="7">
        <f t="shared" si="37"/>
        <v>0</v>
      </c>
      <c r="W57" s="2"/>
      <c r="X57" s="6">
        <f t="shared" si="38"/>
        <v>-132.19000000000005</v>
      </c>
      <c r="Y57" s="2"/>
      <c r="Z57" s="7">
        <f t="shared" si="39"/>
        <v>-0.13219000000000006</v>
      </c>
    </row>
    <row r="58" spans="1:26" s="29" customFormat="1" outlineLevel="1" collapsed="1" x14ac:dyDescent="0.25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3883.56</v>
      </c>
      <c r="E58" s="1"/>
      <c r="F58" s="5">
        <f t="shared" si="32"/>
        <v>0</v>
      </c>
      <c r="G58" s="1"/>
      <c r="H58" s="1">
        <f>SUM(OSRRefH22_10x_0)</f>
        <v>4270</v>
      </c>
      <c r="I58" s="1"/>
      <c r="J58" s="5">
        <f t="shared" si="33"/>
        <v>0</v>
      </c>
      <c r="K58" s="1"/>
      <c r="L58" s="1">
        <f t="shared" si="34"/>
        <v>-386.44000000000005</v>
      </c>
      <c r="M58" s="1"/>
      <c r="N58" s="5">
        <f t="shared" si="35"/>
        <v>-9.0501170960187366E-2</v>
      </c>
      <c r="O58" s="14"/>
      <c r="P58" s="1">
        <f>SUM(OSRRefP22_10x_0)</f>
        <v>7767.12</v>
      </c>
      <c r="Q58" s="1"/>
      <c r="R58" s="5">
        <f t="shared" si="36"/>
        <v>0</v>
      </c>
      <c r="S58" s="1"/>
      <c r="T58" s="1">
        <f>SUM(OSRRefT22_10x_0)</f>
        <v>8540</v>
      </c>
      <c r="U58" s="1"/>
      <c r="V58" s="5">
        <f t="shared" si="37"/>
        <v>0</v>
      </c>
      <c r="W58" s="1"/>
      <c r="X58" s="1">
        <f t="shared" si="38"/>
        <v>-772.88000000000011</v>
      </c>
      <c r="Y58" s="1"/>
      <c r="Z58" s="5">
        <f t="shared" si="39"/>
        <v>-9.0501170960187366E-2</v>
      </c>
    </row>
    <row r="59" spans="1:26" s="24" customFormat="1" hidden="1" outlineLevel="2" x14ac:dyDescent="0.25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3883.56</v>
      </c>
      <c r="E59" s="2"/>
      <c r="F59" s="7">
        <f t="shared" si="32"/>
        <v>0</v>
      </c>
      <c r="G59" s="2"/>
      <c r="H59" s="6">
        <v>4270</v>
      </c>
      <c r="I59" s="2"/>
      <c r="J59" s="7">
        <f t="shared" si="33"/>
        <v>0</v>
      </c>
      <c r="K59" s="2"/>
      <c r="L59" s="6">
        <f t="shared" si="34"/>
        <v>-386.44000000000005</v>
      </c>
      <c r="M59" s="2"/>
      <c r="N59" s="7">
        <f t="shared" si="35"/>
        <v>-9.0501170960187366E-2</v>
      </c>
      <c r="O59" s="11"/>
      <c r="P59" s="6">
        <v>7767.12</v>
      </c>
      <c r="Q59" s="2"/>
      <c r="R59" s="7">
        <f t="shared" si="36"/>
        <v>0</v>
      </c>
      <c r="S59" s="2"/>
      <c r="T59" s="6">
        <v>8540</v>
      </c>
      <c r="U59" s="2"/>
      <c r="V59" s="7">
        <f t="shared" si="37"/>
        <v>0</v>
      </c>
      <c r="W59" s="2"/>
      <c r="X59" s="6">
        <f t="shared" si="38"/>
        <v>-772.88000000000011</v>
      </c>
      <c r="Y59" s="2"/>
      <c r="Z59" s="7">
        <f t="shared" si="39"/>
        <v>-9.0501170960187366E-2</v>
      </c>
    </row>
    <row r="60" spans="1:26" s="29" customFormat="1" outlineLevel="1" collapsed="1" x14ac:dyDescent="0.25">
      <c r="A60" s="28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1000</v>
      </c>
      <c r="I60" s="1"/>
      <c r="J60" s="5">
        <f t="shared" si="33"/>
        <v>0</v>
      </c>
      <c r="K60" s="1"/>
      <c r="L60" s="1">
        <f t="shared" si="34"/>
        <v>-1000</v>
      </c>
      <c r="M60" s="1"/>
      <c r="N60" s="5">
        <f t="shared" si="35"/>
        <v>-1</v>
      </c>
      <c r="O60" s="14"/>
      <c r="P60" s="1">
        <f>SUM(OSRRefP22_11x_0)</f>
        <v>0</v>
      </c>
      <c r="Q60" s="1"/>
      <c r="R60" s="5">
        <f t="shared" si="36"/>
        <v>0</v>
      </c>
      <c r="S60" s="1"/>
      <c r="T60" s="1">
        <f>SUM(OSRRefT22_11x_0)</f>
        <v>2000</v>
      </c>
      <c r="U60" s="1"/>
      <c r="V60" s="5">
        <f t="shared" si="37"/>
        <v>0</v>
      </c>
      <c r="W60" s="1"/>
      <c r="X60" s="1">
        <f t="shared" si="38"/>
        <v>-2000</v>
      </c>
      <c r="Y60" s="1"/>
      <c r="Z60" s="5">
        <f t="shared" si="39"/>
        <v>-1</v>
      </c>
    </row>
    <row r="61" spans="1:26" s="24" customFormat="1" hidden="1" outlineLevel="2" x14ac:dyDescent="0.25">
      <c r="A61" s="27"/>
      <c r="B61" s="11" t="str">
        <f>CONCATENATE("          ", "6408", " - ", "INVENTORY ADJUSTMENT")</f>
        <v xml:space="preserve">          6408 - INVENTORY ADJUSTMENT</v>
      </c>
      <c r="C61" s="11"/>
      <c r="D61" s="6"/>
      <c r="E61" s="2"/>
      <c r="F61" s="7">
        <f t="shared" si="32"/>
        <v>0</v>
      </c>
      <c r="G61" s="2"/>
      <c r="H61" s="6">
        <v>1000</v>
      </c>
      <c r="I61" s="2"/>
      <c r="J61" s="7">
        <f t="shared" si="33"/>
        <v>0</v>
      </c>
      <c r="K61" s="2"/>
      <c r="L61" s="6">
        <f t="shared" si="34"/>
        <v>-1000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2000</v>
      </c>
      <c r="U61" s="2"/>
      <c r="V61" s="7">
        <f t="shared" si="37"/>
        <v>0</v>
      </c>
      <c r="W61" s="2"/>
      <c r="X61" s="6">
        <f t="shared" si="38"/>
        <v>-2000</v>
      </c>
      <c r="Y61" s="2"/>
      <c r="Z61" s="7">
        <f t="shared" si="39"/>
        <v>-1</v>
      </c>
    </row>
    <row r="62" spans="1:26" s="29" customFormat="1" outlineLevel="1" collapsed="1" x14ac:dyDescent="0.25">
      <c r="A62" s="28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-800</v>
      </c>
      <c r="E62" s="1"/>
      <c r="F62" s="5">
        <f t="shared" si="32"/>
        <v>0</v>
      </c>
      <c r="G62" s="1"/>
      <c r="H62" s="1">
        <f>SUM(OSRRefH22_12x_0)</f>
        <v>-800</v>
      </c>
      <c r="I62" s="1"/>
      <c r="J62" s="5">
        <f t="shared" si="33"/>
        <v>0</v>
      </c>
      <c r="K62" s="1"/>
      <c r="L62" s="1">
        <f t="shared" si="34"/>
        <v>0</v>
      </c>
      <c r="M62" s="1"/>
      <c r="N62" s="5">
        <f t="shared" si="35"/>
        <v>0</v>
      </c>
      <c r="O62" s="14"/>
      <c r="P62" s="1">
        <f>SUM(OSRRefP22_12x_0)</f>
        <v>-1600</v>
      </c>
      <c r="Q62" s="1"/>
      <c r="R62" s="5">
        <f t="shared" si="36"/>
        <v>0</v>
      </c>
      <c r="S62" s="1"/>
      <c r="T62" s="1">
        <f>SUM(OSRRefT22_12x_0)</f>
        <v>-1600</v>
      </c>
      <c r="U62" s="1"/>
      <c r="V62" s="5">
        <f t="shared" si="37"/>
        <v>0</v>
      </c>
      <c r="W62" s="1"/>
      <c r="X62" s="1">
        <f t="shared" si="38"/>
        <v>0</v>
      </c>
      <c r="Y62" s="1"/>
      <c r="Z62" s="5">
        <f t="shared" si="39"/>
        <v>0</v>
      </c>
    </row>
    <row r="63" spans="1:26" s="24" customFormat="1" hidden="1" outlineLevel="2" x14ac:dyDescent="0.25">
      <c r="A63" s="27"/>
      <c r="B63" s="11" t="str">
        <f>CONCATENATE("          ", "6273", " - ", "RENT")</f>
        <v xml:space="preserve">          6273 - RENT</v>
      </c>
      <c r="C63" s="11"/>
      <c r="D63" s="6">
        <v>-800</v>
      </c>
      <c r="E63" s="2"/>
      <c r="F63" s="7">
        <f t="shared" si="32"/>
        <v>0</v>
      </c>
      <c r="G63" s="2"/>
      <c r="H63" s="6">
        <v>-800</v>
      </c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-1600</v>
      </c>
      <c r="Q63" s="2"/>
      <c r="R63" s="7">
        <f t="shared" si="36"/>
        <v>0</v>
      </c>
      <c r="S63" s="2"/>
      <c r="T63" s="6">
        <v>-1600</v>
      </c>
      <c r="U63" s="2"/>
      <c r="V63" s="7">
        <f t="shared" si="37"/>
        <v>0</v>
      </c>
      <c r="W63" s="2"/>
      <c r="X63" s="6">
        <f t="shared" si="38"/>
        <v>0</v>
      </c>
      <c r="Y63" s="2"/>
      <c r="Z63" s="7">
        <f t="shared" si="39"/>
        <v>0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1401.3999999999999</v>
      </c>
      <c r="E64" s="1"/>
      <c r="F64" s="5">
        <f t="shared" si="32"/>
        <v>0</v>
      </c>
      <c r="G64" s="1"/>
      <c r="H64" s="1">
        <f>SUM(OSRRefH22_13x_0)</f>
        <v>9000</v>
      </c>
      <c r="I64" s="1"/>
      <c r="J64" s="5">
        <f t="shared" si="33"/>
        <v>0</v>
      </c>
      <c r="K64" s="1"/>
      <c r="L64" s="1">
        <f t="shared" si="34"/>
        <v>-7598.6</v>
      </c>
      <c r="M64" s="1"/>
      <c r="N64" s="5">
        <f t="shared" si="35"/>
        <v>-0.84428888888888898</v>
      </c>
      <c r="O64" s="14"/>
      <c r="P64" s="1">
        <f>SUM(OSRRefP22_13x_0)</f>
        <v>61348.210000000014</v>
      </c>
      <c r="Q64" s="1"/>
      <c r="R64" s="5">
        <f t="shared" si="36"/>
        <v>0</v>
      </c>
      <c r="S64" s="1"/>
      <c r="T64" s="1">
        <f>SUM(OSRRefT22_13x_0)</f>
        <v>63000</v>
      </c>
      <c r="U64" s="1"/>
      <c r="V64" s="5">
        <f t="shared" si="37"/>
        <v>0</v>
      </c>
      <c r="W64" s="1"/>
      <c r="X64" s="1">
        <f t="shared" si="38"/>
        <v>-1651.7899999999863</v>
      </c>
      <c r="Y64" s="1"/>
      <c r="Z64" s="5">
        <f t="shared" si="39"/>
        <v>-2.621888888888867E-2</v>
      </c>
    </row>
    <row r="65" spans="1:26" s="24" customFormat="1" hidden="1" outlineLevel="2" x14ac:dyDescent="0.25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1"/>
      <c r="P65" s="6">
        <v>58428.780000000006</v>
      </c>
      <c r="Q65" s="2"/>
      <c r="R65" s="7">
        <f t="shared" si="36"/>
        <v>0</v>
      </c>
      <c r="S65" s="2"/>
      <c r="T65" s="6">
        <v>45000</v>
      </c>
      <c r="U65" s="2"/>
      <c r="V65" s="7">
        <f t="shared" si="37"/>
        <v>0</v>
      </c>
      <c r="W65" s="2"/>
      <c r="X65" s="6">
        <f t="shared" si="38"/>
        <v>13428.780000000006</v>
      </c>
      <c r="Y65" s="2"/>
      <c r="Z65" s="7">
        <f t="shared" si="39"/>
        <v>0.29841733333333348</v>
      </c>
    </row>
    <row r="66" spans="1:26" s="24" customFormat="1" hidden="1" outlineLevel="2" x14ac:dyDescent="0.25">
      <c r="A66" s="27"/>
      <c r="B66" s="11" t="str">
        <f>CONCATENATE("          ", "6372", " - ", "COMPUTER HARDWARE MAINTENANCE")</f>
        <v xml:space="preserve">          6372 - COMPUTER HARDWARE MAINTENANCE</v>
      </c>
      <c r="C66" s="11"/>
      <c r="D66" s="6">
        <v>0.98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0.98</v>
      </c>
      <c r="M66" s="2"/>
      <c r="N66" s="7">
        <f t="shared" si="35"/>
        <v>0</v>
      </c>
      <c r="O66" s="11"/>
      <c r="P66" s="6">
        <v>0.98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0.98</v>
      </c>
      <c r="Y66" s="2"/>
      <c r="Z66" s="7">
        <f t="shared" si="39"/>
        <v>0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1066.5999999999999</v>
      </c>
      <c r="E67" s="2"/>
      <c r="F67" s="7">
        <f t="shared" si="32"/>
        <v>0</v>
      </c>
      <c r="G67" s="2"/>
      <c r="H67" s="6">
        <v>1000</v>
      </c>
      <c r="I67" s="2"/>
      <c r="J67" s="7">
        <f t="shared" si="33"/>
        <v>0</v>
      </c>
      <c r="K67" s="2"/>
      <c r="L67" s="6">
        <f t="shared" si="34"/>
        <v>66.599999999999909</v>
      </c>
      <c r="M67" s="2"/>
      <c r="N67" s="7">
        <f t="shared" si="35"/>
        <v>6.6599999999999909E-2</v>
      </c>
      <c r="O67" s="11"/>
      <c r="P67" s="6">
        <v>1081.6500000000001</v>
      </c>
      <c r="Q67" s="2"/>
      <c r="R67" s="7">
        <f t="shared" si="36"/>
        <v>0</v>
      </c>
      <c r="S67" s="2"/>
      <c r="T67" s="6">
        <v>2000</v>
      </c>
      <c r="U67" s="2"/>
      <c r="V67" s="7">
        <f t="shared" si="37"/>
        <v>0</v>
      </c>
      <c r="W67" s="2"/>
      <c r="X67" s="6">
        <f t="shared" si="38"/>
        <v>-918.34999999999991</v>
      </c>
      <c r="Y67" s="2"/>
      <c r="Z67" s="7">
        <f t="shared" si="39"/>
        <v>-0.45917499999999994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333.82</v>
      </c>
      <c r="E68" s="2"/>
      <c r="F68" s="7">
        <f t="shared" si="32"/>
        <v>0</v>
      </c>
      <c r="G68" s="2"/>
      <c r="H68" s="6">
        <v>8000</v>
      </c>
      <c r="I68" s="2"/>
      <c r="J68" s="7">
        <f t="shared" si="33"/>
        <v>0</v>
      </c>
      <c r="K68" s="2"/>
      <c r="L68" s="6">
        <f t="shared" si="34"/>
        <v>-7666.18</v>
      </c>
      <c r="M68" s="2"/>
      <c r="N68" s="7">
        <f t="shared" si="35"/>
        <v>-0.95827250000000008</v>
      </c>
      <c r="O68" s="11"/>
      <c r="P68" s="6">
        <v>1836.8</v>
      </c>
      <c r="Q68" s="2"/>
      <c r="R68" s="7">
        <f t="shared" si="36"/>
        <v>0</v>
      </c>
      <c r="S68" s="2"/>
      <c r="T68" s="6">
        <v>16000</v>
      </c>
      <c r="U68" s="2"/>
      <c r="V68" s="7">
        <f t="shared" si="37"/>
        <v>0</v>
      </c>
      <c r="W68" s="2"/>
      <c r="X68" s="6">
        <f t="shared" si="38"/>
        <v>-14163.2</v>
      </c>
      <c r="Y68" s="2"/>
      <c r="Z68" s="7">
        <f t="shared" si="39"/>
        <v>-0.8852000000000001</v>
      </c>
    </row>
    <row r="69" spans="1:26" s="29" customFormat="1" outlineLevel="1" collapsed="1" x14ac:dyDescent="0.25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295.94</v>
      </c>
      <c r="E69" s="1"/>
      <c r="F69" s="5">
        <f t="shared" ref="F69:F72" si="40">IF(D$12=0,0,D69/D$12)</f>
        <v>0</v>
      </c>
      <c r="G69" s="1"/>
      <c r="H69" s="1">
        <f>SUM(OSRRefH22_14x_0)</f>
        <v>4300</v>
      </c>
      <c r="I69" s="1"/>
      <c r="J69" s="5">
        <f t="shared" ref="J69:J72" si="41">IF(H$12=0,0,H69/H$12)</f>
        <v>0</v>
      </c>
      <c r="K69" s="1"/>
      <c r="L69" s="1">
        <f t="shared" ref="L69:L72" si="42">+D69-H69</f>
        <v>-4004.06</v>
      </c>
      <c r="M69" s="1"/>
      <c r="N69" s="5">
        <f t="shared" ref="N69:N72" si="43">IF(H69=0,0,L69/H69)</f>
        <v>-0.93117674418604646</v>
      </c>
      <c r="O69" s="14"/>
      <c r="P69" s="1">
        <f>SUM(OSRRefP22_14x_0)</f>
        <v>4626.6200000000008</v>
      </c>
      <c r="Q69" s="1"/>
      <c r="R69" s="5">
        <f t="shared" ref="R69:R72" si="44">IF(P$12=0,0,P69/P$12)</f>
        <v>0</v>
      </c>
      <c r="S69" s="1"/>
      <c r="T69" s="1">
        <f>SUM(OSRRefT22_14x_0)</f>
        <v>8600</v>
      </c>
      <c r="U69" s="1"/>
      <c r="V69" s="5">
        <f t="shared" ref="V69:V72" si="45">IF(T$12=0,0,T69/T$12)</f>
        <v>0</v>
      </c>
      <c r="W69" s="1"/>
      <c r="X69" s="1">
        <f t="shared" ref="X69:X72" si="46">+P69-T69</f>
        <v>-3973.3799999999992</v>
      </c>
      <c r="Y69" s="1"/>
      <c r="Z69" s="5">
        <f t="shared" ref="Z69:Z72" si="47">IF(T69=0,0,X69/T69)</f>
        <v>-0.46202093023255802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295.94</v>
      </c>
      <c r="E70" s="2"/>
      <c r="F70" s="7">
        <f t="shared" si="40"/>
        <v>0</v>
      </c>
      <c r="G70" s="2"/>
      <c r="H70" s="6">
        <v>4000</v>
      </c>
      <c r="I70" s="2"/>
      <c r="J70" s="7">
        <f t="shared" si="41"/>
        <v>0</v>
      </c>
      <c r="K70" s="2"/>
      <c r="L70" s="6">
        <f t="shared" si="42"/>
        <v>-3704.06</v>
      </c>
      <c r="M70" s="2"/>
      <c r="N70" s="7">
        <f t="shared" si="43"/>
        <v>-0.92601500000000003</v>
      </c>
      <c r="O70" s="11"/>
      <c r="P70" s="6">
        <v>388.44</v>
      </c>
      <c r="Q70" s="2"/>
      <c r="R70" s="7">
        <f t="shared" si="44"/>
        <v>0</v>
      </c>
      <c r="S70" s="2"/>
      <c r="T70" s="6">
        <v>8000</v>
      </c>
      <c r="U70" s="2"/>
      <c r="V70" s="7">
        <f t="shared" si="45"/>
        <v>0</v>
      </c>
      <c r="W70" s="2"/>
      <c r="X70" s="6">
        <f t="shared" si="46"/>
        <v>-7611.56</v>
      </c>
      <c r="Y70" s="2"/>
      <c r="Z70" s="7">
        <f t="shared" si="47"/>
        <v>-0.9514450000000001</v>
      </c>
    </row>
    <row r="71" spans="1:26" s="24" customFormat="1" hidden="1" outlineLevel="2" x14ac:dyDescent="0.25">
      <c r="A71" s="27"/>
      <c r="B71" s="11" t="str">
        <f>CONCATENATE("          ", "6283", " - ", "PLANT SERVICE")</f>
        <v xml:space="preserve">          6283 - PLANT SERVICE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130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130</v>
      </c>
      <c r="Y71" s="2"/>
      <c r="Z71" s="7">
        <f t="shared" si="47"/>
        <v>0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6"/>
      <c r="E72" s="2"/>
      <c r="F72" s="7">
        <f t="shared" si="40"/>
        <v>0</v>
      </c>
      <c r="G72" s="2"/>
      <c r="H72" s="6">
        <v>300</v>
      </c>
      <c r="I72" s="2"/>
      <c r="J72" s="7">
        <f t="shared" si="41"/>
        <v>0</v>
      </c>
      <c r="K72" s="2"/>
      <c r="L72" s="6">
        <f t="shared" si="42"/>
        <v>-300</v>
      </c>
      <c r="M72" s="2"/>
      <c r="N72" s="7">
        <f t="shared" si="43"/>
        <v>-1</v>
      </c>
      <c r="O72" s="11"/>
      <c r="P72" s="6">
        <v>4108.18</v>
      </c>
      <c r="Q72" s="2"/>
      <c r="R72" s="7">
        <f t="shared" si="44"/>
        <v>0</v>
      </c>
      <c r="S72" s="2"/>
      <c r="T72" s="6">
        <v>600</v>
      </c>
      <c r="U72" s="2"/>
      <c r="V72" s="7">
        <f t="shared" si="45"/>
        <v>0</v>
      </c>
      <c r="W72" s="2"/>
      <c r="X72" s="6">
        <f t="shared" si="46"/>
        <v>3508.1800000000003</v>
      </c>
      <c r="Y72" s="2"/>
      <c r="Z72" s="7">
        <f t="shared" si="47"/>
        <v>5.8469666666666669</v>
      </c>
    </row>
    <row r="73" spans="1:26" s="29" customFormat="1" outlineLevel="1" collapsed="1" x14ac:dyDescent="0.25">
      <c r="A73" s="28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SUM(OSRRefD22_15x_0)</f>
        <v>0</v>
      </c>
      <c r="E73" s="1"/>
      <c r="F73" s="5">
        <f t="shared" ref="F73:F81" si="48">IF(D$12=0,0,D73/D$12)</f>
        <v>0</v>
      </c>
      <c r="G73" s="1"/>
      <c r="H73" s="1">
        <f>SUM(OSRRefH22_15x_0)</f>
        <v>800</v>
      </c>
      <c r="I73" s="1"/>
      <c r="J73" s="5">
        <f t="shared" ref="J73:J81" si="49">IF(H$12=0,0,H73/H$12)</f>
        <v>0</v>
      </c>
      <c r="K73" s="1"/>
      <c r="L73" s="1">
        <f t="shared" ref="L73:L81" si="50">+D73-H73</f>
        <v>-800</v>
      </c>
      <c r="M73" s="1"/>
      <c r="N73" s="5">
        <f t="shared" ref="N73:N81" si="51">IF(H73=0,0,L73/H73)</f>
        <v>-1</v>
      </c>
      <c r="O73" s="14"/>
      <c r="P73" s="1">
        <f>SUM(OSRRefP22_15x_0)</f>
        <v>0</v>
      </c>
      <c r="Q73" s="1"/>
      <c r="R73" s="5">
        <f t="shared" ref="R73:R81" si="52">IF(P$12=0,0,P73/P$12)</f>
        <v>0</v>
      </c>
      <c r="S73" s="1"/>
      <c r="T73" s="1">
        <f>SUM(OSRRefT22_15x_0)</f>
        <v>1600</v>
      </c>
      <c r="U73" s="1"/>
      <c r="V73" s="5">
        <f t="shared" ref="V73:V81" si="53">IF(T$12=0,0,T73/T$12)</f>
        <v>0</v>
      </c>
      <c r="W73" s="1"/>
      <c r="X73" s="1">
        <f t="shared" ref="X73:X81" si="54">+P73-T73</f>
        <v>-1600</v>
      </c>
      <c r="Y73" s="1"/>
      <c r="Z73" s="5">
        <f t="shared" ref="Z73:Z81" si="55">IF(T73=0,0,X73/T73)</f>
        <v>-1</v>
      </c>
    </row>
    <row r="74" spans="1:26" s="24" customFormat="1" hidden="1" outlineLevel="2" x14ac:dyDescent="0.25">
      <c r="A74" s="27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8"/>
        <v>0</v>
      </c>
      <c r="G74" s="2"/>
      <c r="H74" s="6">
        <v>800</v>
      </c>
      <c r="I74" s="2"/>
      <c r="J74" s="7">
        <f t="shared" si="49"/>
        <v>0</v>
      </c>
      <c r="K74" s="2"/>
      <c r="L74" s="6">
        <f t="shared" si="50"/>
        <v>-800</v>
      </c>
      <c r="M74" s="2"/>
      <c r="N74" s="7">
        <f t="shared" si="51"/>
        <v>-1</v>
      </c>
      <c r="O74" s="11"/>
      <c r="P74" s="6"/>
      <c r="Q74" s="2"/>
      <c r="R74" s="7">
        <f t="shared" si="52"/>
        <v>0</v>
      </c>
      <c r="S74" s="2"/>
      <c r="T74" s="6">
        <v>1600</v>
      </c>
      <c r="U74" s="2"/>
      <c r="V74" s="7">
        <f t="shared" si="53"/>
        <v>0</v>
      </c>
      <c r="W74" s="2"/>
      <c r="X74" s="6">
        <f t="shared" si="54"/>
        <v>-1600</v>
      </c>
      <c r="Y74" s="2"/>
      <c r="Z74" s="7">
        <f t="shared" si="55"/>
        <v>-1</v>
      </c>
    </row>
    <row r="75" spans="1:26" s="29" customFormat="1" outlineLevel="1" collapsed="1" x14ac:dyDescent="0.25">
      <c r="A75" s="28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SUM(OSRRefD22_16x_0)</f>
        <v>2488.9299999999998</v>
      </c>
      <c r="E75" s="1"/>
      <c r="F75" s="5">
        <f t="shared" si="48"/>
        <v>0</v>
      </c>
      <c r="G75" s="1"/>
      <c r="H75" s="1">
        <f>SUM(OSRRefH22_16x_0)</f>
        <v>33800</v>
      </c>
      <c r="I75" s="1"/>
      <c r="J75" s="5">
        <f t="shared" si="49"/>
        <v>0</v>
      </c>
      <c r="K75" s="1"/>
      <c r="L75" s="1">
        <f t="shared" si="50"/>
        <v>-31311.07</v>
      </c>
      <c r="M75" s="1"/>
      <c r="N75" s="5">
        <f t="shared" si="51"/>
        <v>-0.92636301775147933</v>
      </c>
      <c r="O75" s="14"/>
      <c r="P75" s="1">
        <f>SUM(OSRRefP22_16x_0)</f>
        <v>7474.92</v>
      </c>
      <c r="Q75" s="1"/>
      <c r="R75" s="5">
        <f t="shared" si="52"/>
        <v>0</v>
      </c>
      <c r="S75" s="1"/>
      <c r="T75" s="1">
        <f>SUM(OSRRefT22_16x_0)</f>
        <v>37700</v>
      </c>
      <c r="U75" s="1"/>
      <c r="V75" s="5">
        <f t="shared" si="53"/>
        <v>0</v>
      </c>
      <c r="W75" s="1"/>
      <c r="X75" s="1">
        <f t="shared" si="54"/>
        <v>-30225.08</v>
      </c>
      <c r="Y75" s="1"/>
      <c r="Z75" s="5">
        <f t="shared" si="55"/>
        <v>-0.80172625994694968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8"/>
        <v>0</v>
      </c>
      <c r="G76" s="2"/>
      <c r="H76" s="6">
        <v>100</v>
      </c>
      <c r="I76" s="2"/>
      <c r="J76" s="7">
        <f t="shared" si="49"/>
        <v>0</v>
      </c>
      <c r="K76" s="2"/>
      <c r="L76" s="6">
        <f t="shared" si="50"/>
        <v>-100</v>
      </c>
      <c r="M76" s="2"/>
      <c r="N76" s="7">
        <f t="shared" si="51"/>
        <v>-1</v>
      </c>
      <c r="O76" s="11"/>
      <c r="P76" s="6"/>
      <c r="Q76" s="2"/>
      <c r="R76" s="7">
        <f t="shared" si="52"/>
        <v>0</v>
      </c>
      <c r="S76" s="2"/>
      <c r="T76" s="6">
        <v>200</v>
      </c>
      <c r="U76" s="2"/>
      <c r="V76" s="7">
        <f t="shared" si="53"/>
        <v>0</v>
      </c>
      <c r="W76" s="2"/>
      <c r="X76" s="6">
        <f t="shared" si="54"/>
        <v>-200</v>
      </c>
      <c r="Y76" s="2"/>
      <c r="Z76" s="7">
        <f t="shared" si="55"/>
        <v>-1</v>
      </c>
    </row>
    <row r="77" spans="1:26" s="24" customFormat="1" hidden="1" outlineLevel="2" x14ac:dyDescent="0.25">
      <c r="A77" s="27"/>
      <c r="B77" s="11" t="str">
        <f>CONCATENATE("          ", "6235", " - ", "COVID-19 EXPENSES")</f>
        <v xml:space="preserve">          6235 - COVID-19 EXPENSES</v>
      </c>
      <c r="C77" s="11"/>
      <c r="D77" s="6">
        <v>621.78</v>
      </c>
      <c r="E77" s="2"/>
      <c r="F77" s="7">
        <f t="shared" si="48"/>
        <v>0</v>
      </c>
      <c r="G77" s="2"/>
      <c r="H77" s="6">
        <v>30000</v>
      </c>
      <c r="I77" s="2"/>
      <c r="J77" s="7">
        <f t="shared" si="49"/>
        <v>0</v>
      </c>
      <c r="K77" s="2"/>
      <c r="L77" s="6">
        <f t="shared" si="50"/>
        <v>-29378.22</v>
      </c>
      <c r="M77" s="2"/>
      <c r="N77" s="7">
        <f t="shared" si="51"/>
        <v>-0.97927400000000009</v>
      </c>
      <c r="O77" s="11"/>
      <c r="P77" s="6">
        <v>4917.3</v>
      </c>
      <c r="Q77" s="2"/>
      <c r="R77" s="7">
        <f t="shared" si="52"/>
        <v>0</v>
      </c>
      <c r="S77" s="2"/>
      <c r="T77" s="6">
        <v>30100</v>
      </c>
      <c r="U77" s="2"/>
      <c r="V77" s="7">
        <f t="shared" si="53"/>
        <v>0</v>
      </c>
      <c r="W77" s="2"/>
      <c r="X77" s="6">
        <f t="shared" si="54"/>
        <v>-25182.7</v>
      </c>
      <c r="Y77" s="2"/>
      <c r="Z77" s="7">
        <f t="shared" si="55"/>
        <v>-0.83663455149501664</v>
      </c>
    </row>
    <row r="78" spans="1:26" s="24" customFormat="1" hidden="1" outlineLevel="2" x14ac:dyDescent="0.25">
      <c r="A78" s="27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48"/>
        <v>0</v>
      </c>
      <c r="G78" s="2"/>
      <c r="H78" s="6">
        <v>200</v>
      </c>
      <c r="I78" s="2"/>
      <c r="J78" s="7">
        <f t="shared" si="49"/>
        <v>0</v>
      </c>
      <c r="K78" s="2"/>
      <c r="L78" s="6">
        <f t="shared" si="50"/>
        <v>-200</v>
      </c>
      <c r="M78" s="2"/>
      <c r="N78" s="7">
        <f t="shared" si="51"/>
        <v>-1</v>
      </c>
      <c r="O78" s="11"/>
      <c r="P78" s="6"/>
      <c r="Q78" s="2"/>
      <c r="R78" s="7">
        <f t="shared" si="52"/>
        <v>0</v>
      </c>
      <c r="S78" s="2"/>
      <c r="T78" s="6">
        <v>400</v>
      </c>
      <c r="U78" s="2"/>
      <c r="V78" s="7">
        <f t="shared" si="53"/>
        <v>0</v>
      </c>
      <c r="W78" s="2"/>
      <c r="X78" s="6">
        <f t="shared" si="54"/>
        <v>-400</v>
      </c>
      <c r="Y78" s="2"/>
      <c r="Z78" s="7">
        <f t="shared" si="55"/>
        <v>-1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1807.76</v>
      </c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1807.76</v>
      </c>
      <c r="M79" s="2"/>
      <c r="N79" s="7">
        <f t="shared" si="51"/>
        <v>0</v>
      </c>
      <c r="O79" s="11"/>
      <c r="P79" s="6">
        <v>2030.13</v>
      </c>
      <c r="Q79" s="2"/>
      <c r="R79" s="7">
        <f t="shared" si="52"/>
        <v>0</v>
      </c>
      <c r="S79" s="2"/>
      <c r="T79" s="6"/>
      <c r="U79" s="2"/>
      <c r="V79" s="7">
        <f t="shared" si="53"/>
        <v>0</v>
      </c>
      <c r="W79" s="2"/>
      <c r="X79" s="6">
        <f t="shared" si="54"/>
        <v>2030.13</v>
      </c>
      <c r="Y79" s="2"/>
      <c r="Z79" s="7">
        <f t="shared" si="55"/>
        <v>0</v>
      </c>
    </row>
    <row r="80" spans="1:26" s="24" customFormat="1" hidden="1" outlineLevel="2" x14ac:dyDescent="0.25">
      <c r="A80" s="27"/>
      <c r="B80" s="11" t="str">
        <f>CONCATENATE("          ", "6247", " - ", "STORE SUPPLIES")</f>
        <v xml:space="preserve">          6247 - STORE SUPPLIES</v>
      </c>
      <c r="C80" s="11"/>
      <c r="D80" s="6">
        <v>59.39</v>
      </c>
      <c r="E80" s="2"/>
      <c r="F80" s="7">
        <f t="shared" si="48"/>
        <v>0</v>
      </c>
      <c r="G80" s="2"/>
      <c r="H80" s="6">
        <v>2000</v>
      </c>
      <c r="I80" s="2"/>
      <c r="J80" s="7">
        <f t="shared" si="49"/>
        <v>0</v>
      </c>
      <c r="K80" s="2"/>
      <c r="L80" s="6">
        <f t="shared" si="50"/>
        <v>-1940.61</v>
      </c>
      <c r="M80" s="2"/>
      <c r="N80" s="7">
        <f t="shared" si="51"/>
        <v>-0.97030499999999997</v>
      </c>
      <c r="O80" s="11"/>
      <c r="P80" s="6">
        <v>527.49</v>
      </c>
      <c r="Q80" s="2"/>
      <c r="R80" s="7">
        <f t="shared" si="52"/>
        <v>0</v>
      </c>
      <c r="S80" s="2"/>
      <c r="T80" s="6">
        <v>4000</v>
      </c>
      <c r="U80" s="2"/>
      <c r="V80" s="7">
        <f t="shared" si="53"/>
        <v>0</v>
      </c>
      <c r="W80" s="2"/>
      <c r="X80" s="6">
        <f t="shared" si="54"/>
        <v>-3472.51</v>
      </c>
      <c r="Y80" s="2"/>
      <c r="Z80" s="7">
        <f t="shared" si="55"/>
        <v>-0.86812750000000005</v>
      </c>
    </row>
    <row r="81" spans="1:26" s="24" customFormat="1" hidden="1" outlineLevel="2" x14ac:dyDescent="0.25">
      <c r="A81" s="27"/>
      <c r="B81" s="11" t="str">
        <f>CONCATENATE("          ", "6248", " - ", "UNIFORMS")</f>
        <v xml:space="preserve">          6248 - UNIFORMS</v>
      </c>
      <c r="C81" s="11"/>
      <c r="D81" s="6"/>
      <c r="E81" s="2"/>
      <c r="F81" s="7">
        <f t="shared" si="48"/>
        <v>0</v>
      </c>
      <c r="G81" s="2"/>
      <c r="H81" s="6">
        <v>1500</v>
      </c>
      <c r="I81" s="2"/>
      <c r="J81" s="7">
        <f t="shared" si="49"/>
        <v>0</v>
      </c>
      <c r="K81" s="2"/>
      <c r="L81" s="6">
        <f t="shared" si="50"/>
        <v>-1500</v>
      </c>
      <c r="M81" s="2"/>
      <c r="N81" s="7">
        <f t="shared" si="51"/>
        <v>-1</v>
      </c>
      <c r="O81" s="11"/>
      <c r="P81" s="6"/>
      <c r="Q81" s="2"/>
      <c r="R81" s="7">
        <f t="shared" si="52"/>
        <v>0</v>
      </c>
      <c r="S81" s="2"/>
      <c r="T81" s="6">
        <v>3000</v>
      </c>
      <c r="U81" s="2"/>
      <c r="V81" s="7">
        <f t="shared" si="53"/>
        <v>0</v>
      </c>
      <c r="W81" s="2"/>
      <c r="X81" s="6">
        <f t="shared" si="54"/>
        <v>-3000</v>
      </c>
      <c r="Y81" s="2"/>
      <c r="Z81" s="7">
        <f t="shared" si="55"/>
        <v>-1</v>
      </c>
    </row>
    <row r="82" spans="1:26" s="29" customFormat="1" outlineLevel="1" collapsed="1" x14ac:dyDescent="0.25">
      <c r="A82" s="28"/>
      <c r="B82" s="14" t="str">
        <f>CONCATENATE("     ","Telephone/Data Lines                              ")</f>
        <v xml:space="preserve">     Telephone/Data Lines                              </v>
      </c>
      <c r="C82" s="14"/>
      <c r="D82" s="1">
        <f>SUM(OSRRefD22_17x_0)</f>
        <v>607.41</v>
      </c>
      <c r="E82" s="1"/>
      <c r="F82" s="5">
        <f t="shared" ref="F82:F89" si="56">IF(D$12=0,0,D82/D$12)</f>
        <v>0</v>
      </c>
      <c r="G82" s="1"/>
      <c r="H82" s="1">
        <f>SUM(OSRRefH22_17x_0)</f>
        <v>600</v>
      </c>
      <c r="I82" s="1"/>
      <c r="J82" s="5">
        <f t="shared" ref="J82:J89" si="57">IF(H$12=0,0,H82/H$12)</f>
        <v>0</v>
      </c>
      <c r="K82" s="1"/>
      <c r="L82" s="1">
        <f t="shared" ref="L82:L89" si="58">+D82-H82</f>
        <v>7.4099999999999682</v>
      </c>
      <c r="M82" s="1"/>
      <c r="N82" s="5">
        <f t="shared" ref="N82:N89" si="59">IF(H82=0,0,L82/H82)</f>
        <v>1.2349999999999946E-2</v>
      </c>
      <c r="O82" s="14"/>
      <c r="P82" s="1">
        <f>SUM(OSRRefP22_17x_0)</f>
        <v>1174.6199999999999</v>
      </c>
      <c r="Q82" s="1"/>
      <c r="R82" s="5">
        <f t="shared" ref="R82:R89" si="60">IF(P$12=0,0,P82/P$12)</f>
        <v>0</v>
      </c>
      <c r="S82" s="1"/>
      <c r="T82" s="1">
        <f>SUM(OSRRefT22_17x_0)</f>
        <v>1200</v>
      </c>
      <c r="U82" s="1"/>
      <c r="V82" s="5">
        <f t="shared" ref="V82:V89" si="61">IF(T$12=0,0,T82/T$12)</f>
        <v>0</v>
      </c>
      <c r="W82" s="1"/>
      <c r="X82" s="1">
        <f t="shared" ref="X82:X89" si="62">+P82-T82</f>
        <v>-25.380000000000109</v>
      </c>
      <c r="Y82" s="1"/>
      <c r="Z82" s="5">
        <f t="shared" ref="Z82:Z89" si="63">IF(T82=0,0,X82/T82)</f>
        <v>-2.1150000000000092E-2</v>
      </c>
    </row>
    <row r="83" spans="1:26" s="24" customFormat="1" hidden="1" outlineLevel="2" x14ac:dyDescent="0.25">
      <c r="A83" s="27"/>
      <c r="B83" s="11" t="str">
        <f>CONCATENATE("          ", "6309", " - ", "TELEPHONE")</f>
        <v xml:space="preserve">          6309 - TELEPHONE</v>
      </c>
      <c r="C83" s="11"/>
      <c r="D83" s="6">
        <v>607.41</v>
      </c>
      <c r="E83" s="2"/>
      <c r="F83" s="7">
        <f t="shared" si="56"/>
        <v>0</v>
      </c>
      <c r="G83" s="2"/>
      <c r="H83" s="6">
        <v>600</v>
      </c>
      <c r="I83" s="2"/>
      <c r="J83" s="7">
        <f t="shared" si="57"/>
        <v>0</v>
      </c>
      <c r="K83" s="2"/>
      <c r="L83" s="6">
        <f t="shared" si="58"/>
        <v>7.4099999999999682</v>
      </c>
      <c r="M83" s="2"/>
      <c r="N83" s="7">
        <f t="shared" si="59"/>
        <v>1.2349999999999946E-2</v>
      </c>
      <c r="O83" s="11"/>
      <c r="P83" s="6">
        <v>1174.6199999999999</v>
      </c>
      <c r="Q83" s="2"/>
      <c r="R83" s="7">
        <f t="shared" si="60"/>
        <v>0</v>
      </c>
      <c r="S83" s="2"/>
      <c r="T83" s="6">
        <v>1200</v>
      </c>
      <c r="U83" s="2"/>
      <c r="V83" s="7">
        <f t="shared" si="61"/>
        <v>0</v>
      </c>
      <c r="W83" s="2"/>
      <c r="X83" s="6">
        <f t="shared" si="62"/>
        <v>-25.380000000000109</v>
      </c>
      <c r="Y83" s="2"/>
      <c r="Z83" s="7">
        <f t="shared" si="63"/>
        <v>-2.1150000000000092E-2</v>
      </c>
    </row>
    <row r="84" spans="1:26" s="29" customFormat="1" outlineLevel="1" collapsed="1" x14ac:dyDescent="0.25">
      <c r="A84" s="28"/>
      <c r="B84" s="14" t="str">
        <f>CONCATENATE("     ","Training                                          ")</f>
        <v xml:space="preserve">     Training                                          </v>
      </c>
      <c r="C84" s="14"/>
      <c r="D84" s="1">
        <f>SUM(OSRRefD22_18x_0)</f>
        <v>0</v>
      </c>
      <c r="E84" s="1"/>
      <c r="F84" s="5">
        <f t="shared" si="56"/>
        <v>0</v>
      </c>
      <c r="G84" s="1"/>
      <c r="H84" s="1">
        <f>SUM(OSRRefH22_18x_0)</f>
        <v>0</v>
      </c>
      <c r="I84" s="1"/>
      <c r="J84" s="5">
        <f t="shared" si="57"/>
        <v>0</v>
      </c>
      <c r="K84" s="1"/>
      <c r="L84" s="1">
        <f t="shared" si="58"/>
        <v>0</v>
      </c>
      <c r="M84" s="1"/>
      <c r="N84" s="5">
        <f t="shared" si="59"/>
        <v>0</v>
      </c>
      <c r="O84" s="14"/>
      <c r="P84" s="1">
        <f>SUM(OSRRefP22_18x_0)</f>
        <v>131.63</v>
      </c>
      <c r="Q84" s="1"/>
      <c r="R84" s="5">
        <f t="shared" si="60"/>
        <v>0</v>
      </c>
      <c r="S84" s="1"/>
      <c r="T84" s="1">
        <f>SUM(OSRRefT22_18x_0)</f>
        <v>0</v>
      </c>
      <c r="U84" s="1"/>
      <c r="V84" s="5">
        <f t="shared" si="61"/>
        <v>0</v>
      </c>
      <c r="W84" s="1"/>
      <c r="X84" s="1">
        <f t="shared" si="62"/>
        <v>131.63</v>
      </c>
      <c r="Y84" s="1"/>
      <c r="Z84" s="5">
        <f t="shared" si="63"/>
        <v>0</v>
      </c>
    </row>
    <row r="85" spans="1:26" s="24" customFormat="1" hidden="1" outlineLevel="2" x14ac:dyDescent="0.25">
      <c r="A85" s="27"/>
      <c r="B85" s="11" t="str">
        <f>CONCATENATE("          ", "6376", " - ", "TRAINING")</f>
        <v xml:space="preserve">          6376 - TRAINING</v>
      </c>
      <c r="C85" s="11"/>
      <c r="D85" s="6"/>
      <c r="E85" s="2"/>
      <c r="F85" s="7">
        <f t="shared" si="56"/>
        <v>0</v>
      </c>
      <c r="G85" s="2"/>
      <c r="H85" s="6"/>
      <c r="I85" s="2"/>
      <c r="J85" s="7">
        <f t="shared" si="57"/>
        <v>0</v>
      </c>
      <c r="K85" s="2"/>
      <c r="L85" s="6">
        <f t="shared" si="58"/>
        <v>0</v>
      </c>
      <c r="M85" s="2"/>
      <c r="N85" s="7">
        <f t="shared" si="59"/>
        <v>0</v>
      </c>
      <c r="O85" s="11"/>
      <c r="P85" s="6">
        <v>131.63</v>
      </c>
      <c r="Q85" s="2"/>
      <c r="R85" s="7">
        <f t="shared" si="60"/>
        <v>0</v>
      </c>
      <c r="S85" s="2"/>
      <c r="T85" s="6"/>
      <c r="U85" s="2"/>
      <c r="V85" s="7">
        <f t="shared" si="61"/>
        <v>0</v>
      </c>
      <c r="W85" s="2"/>
      <c r="X85" s="6">
        <f t="shared" si="62"/>
        <v>131.63</v>
      </c>
      <c r="Y85" s="2"/>
      <c r="Z85" s="7">
        <f t="shared" si="63"/>
        <v>0</v>
      </c>
    </row>
    <row r="86" spans="1:26" s="29" customFormat="1" outlineLevel="1" collapsed="1" x14ac:dyDescent="0.25">
      <c r="A86" s="28"/>
      <c r="B86" s="14" t="str">
        <f>CONCATENATE("     ","Travel                                            ")</f>
        <v xml:space="preserve">     Travel                                            </v>
      </c>
      <c r="C86" s="14"/>
      <c r="D86" s="1">
        <f>SUM(OSRRefD22_19x_0)</f>
        <v>0</v>
      </c>
      <c r="E86" s="1"/>
      <c r="F86" s="5">
        <f t="shared" si="56"/>
        <v>0</v>
      </c>
      <c r="G86" s="1"/>
      <c r="H86" s="1">
        <f>SUM(OSRRefH22_19x_0)</f>
        <v>0</v>
      </c>
      <c r="I86" s="1"/>
      <c r="J86" s="5">
        <f t="shared" si="57"/>
        <v>0</v>
      </c>
      <c r="K86" s="1"/>
      <c r="L86" s="1">
        <f t="shared" si="58"/>
        <v>0</v>
      </c>
      <c r="M86" s="1"/>
      <c r="N86" s="5">
        <f t="shared" si="59"/>
        <v>0</v>
      </c>
      <c r="O86" s="14"/>
      <c r="P86" s="1">
        <f>SUM(OSRRefP22_19x_0)</f>
        <v>59.89</v>
      </c>
      <c r="Q86" s="1"/>
      <c r="R86" s="5">
        <f t="shared" si="60"/>
        <v>0</v>
      </c>
      <c r="S86" s="1"/>
      <c r="T86" s="1">
        <f>SUM(OSRRefT22_19x_0)</f>
        <v>0</v>
      </c>
      <c r="U86" s="1"/>
      <c r="V86" s="5">
        <f t="shared" si="61"/>
        <v>0</v>
      </c>
      <c r="W86" s="1"/>
      <c r="X86" s="1">
        <f t="shared" si="62"/>
        <v>59.89</v>
      </c>
      <c r="Y86" s="1"/>
      <c r="Z86" s="5">
        <f t="shared" si="63"/>
        <v>0</v>
      </c>
    </row>
    <row r="87" spans="1:26" s="24" customFormat="1" hidden="1" outlineLevel="2" x14ac:dyDescent="0.25">
      <c r="A87" s="27"/>
      <c r="B87" s="11" t="str">
        <f>CONCATENATE("          ", "6298", " - ", "VEHICLE MILEAGE")</f>
        <v xml:space="preserve">          6298 - VEHICLE MILEAGE</v>
      </c>
      <c r="C87" s="11"/>
      <c r="D87" s="6"/>
      <c r="E87" s="2"/>
      <c r="F87" s="7">
        <f t="shared" si="56"/>
        <v>0</v>
      </c>
      <c r="G87" s="2"/>
      <c r="H87" s="6"/>
      <c r="I87" s="2"/>
      <c r="J87" s="7">
        <f t="shared" si="57"/>
        <v>0</v>
      </c>
      <c r="K87" s="2"/>
      <c r="L87" s="6">
        <f t="shared" si="58"/>
        <v>0</v>
      </c>
      <c r="M87" s="2"/>
      <c r="N87" s="7">
        <f t="shared" si="59"/>
        <v>0</v>
      </c>
      <c r="O87" s="11"/>
      <c r="P87" s="6">
        <v>59.89</v>
      </c>
      <c r="Q87" s="2"/>
      <c r="R87" s="7">
        <f t="shared" si="60"/>
        <v>0</v>
      </c>
      <c r="S87" s="2"/>
      <c r="T87" s="6"/>
      <c r="U87" s="2"/>
      <c r="V87" s="7">
        <f t="shared" si="61"/>
        <v>0</v>
      </c>
      <c r="W87" s="2"/>
      <c r="X87" s="6">
        <f t="shared" si="62"/>
        <v>59.89</v>
      </c>
      <c r="Y87" s="2"/>
      <c r="Z87" s="7">
        <f t="shared" si="63"/>
        <v>0</v>
      </c>
    </row>
    <row r="88" spans="1:26" s="29" customFormat="1" outlineLevel="1" collapsed="1" x14ac:dyDescent="0.25">
      <c r="A88" s="28"/>
      <c r="B88" s="14" t="str">
        <f>CONCATENATE("     ","Utilities                                         ")</f>
        <v xml:space="preserve">     Utilities                                         </v>
      </c>
      <c r="C88" s="14"/>
      <c r="D88" s="1">
        <f>SUM(OSRRefD22_20x_0)</f>
        <v>6133</v>
      </c>
      <c r="E88" s="1"/>
      <c r="F88" s="5">
        <f t="shared" si="56"/>
        <v>0</v>
      </c>
      <c r="G88" s="1"/>
      <c r="H88" s="1">
        <f>SUM(OSRRefH22_20x_0)</f>
        <v>6000</v>
      </c>
      <c r="I88" s="1"/>
      <c r="J88" s="5">
        <f t="shared" si="57"/>
        <v>0</v>
      </c>
      <c r="K88" s="1"/>
      <c r="L88" s="1">
        <f t="shared" si="58"/>
        <v>133</v>
      </c>
      <c r="M88" s="1"/>
      <c r="N88" s="5">
        <f t="shared" si="59"/>
        <v>2.2166666666666668E-2</v>
      </c>
      <c r="O88" s="14"/>
      <c r="P88" s="1">
        <f>SUM(OSRRefP22_20x_0)</f>
        <v>12266</v>
      </c>
      <c r="Q88" s="1"/>
      <c r="R88" s="5">
        <f t="shared" si="60"/>
        <v>0</v>
      </c>
      <c r="S88" s="1"/>
      <c r="T88" s="1">
        <f>SUM(OSRRefT22_20x_0)</f>
        <v>12000</v>
      </c>
      <c r="U88" s="1"/>
      <c r="V88" s="5">
        <f t="shared" si="61"/>
        <v>0</v>
      </c>
      <c r="W88" s="1"/>
      <c r="X88" s="1">
        <f t="shared" si="62"/>
        <v>266</v>
      </c>
      <c r="Y88" s="1"/>
      <c r="Z88" s="5">
        <f t="shared" si="63"/>
        <v>2.2166666666666668E-2</v>
      </c>
    </row>
    <row r="89" spans="1:26" s="24" customFormat="1" hidden="1" outlineLevel="2" x14ac:dyDescent="0.25">
      <c r="A89" s="27"/>
      <c r="B89" s="11" t="str">
        <f>CONCATENATE("          ", "6274", " - ", "UTILITIES")</f>
        <v xml:space="preserve">          6274 - UTILITIES</v>
      </c>
      <c r="C89" s="11"/>
      <c r="D89" s="6">
        <v>6133</v>
      </c>
      <c r="E89" s="2"/>
      <c r="F89" s="7">
        <f t="shared" si="56"/>
        <v>0</v>
      </c>
      <c r="G89" s="2"/>
      <c r="H89" s="6">
        <v>6000</v>
      </c>
      <c r="I89" s="2"/>
      <c r="J89" s="7">
        <f t="shared" si="57"/>
        <v>0</v>
      </c>
      <c r="K89" s="2"/>
      <c r="L89" s="6">
        <f t="shared" si="58"/>
        <v>133</v>
      </c>
      <c r="M89" s="2"/>
      <c r="N89" s="7">
        <f t="shared" si="59"/>
        <v>2.2166666666666668E-2</v>
      </c>
      <c r="O89" s="11"/>
      <c r="P89" s="6">
        <v>12266</v>
      </c>
      <c r="Q89" s="2"/>
      <c r="R89" s="7">
        <f t="shared" si="60"/>
        <v>0</v>
      </c>
      <c r="S89" s="2"/>
      <c r="T89" s="6">
        <v>12000</v>
      </c>
      <c r="U89" s="2"/>
      <c r="V89" s="7">
        <f t="shared" si="61"/>
        <v>0</v>
      </c>
      <c r="W89" s="2"/>
      <c r="X89" s="6">
        <f t="shared" si="62"/>
        <v>266</v>
      </c>
      <c r="Y89" s="2"/>
      <c r="Z89" s="7">
        <f t="shared" si="63"/>
        <v>2.2166666666666668E-2</v>
      </c>
    </row>
    <row r="90" spans="1:26" s="61" customFormat="1" x14ac:dyDescent="0.25">
      <c r="A90" s="36"/>
      <c r="B90" s="36"/>
      <c r="C90" s="36"/>
      <c r="D90" s="1"/>
      <c r="E90" s="1"/>
      <c r="F90" s="5"/>
      <c r="G90" s="1"/>
      <c r="H90" s="1"/>
      <c r="I90" s="1"/>
      <c r="J90" s="5"/>
      <c r="K90" s="1"/>
      <c r="L90" s="1"/>
      <c r="M90" s="1"/>
      <c r="N90" s="5"/>
      <c r="O90" s="36"/>
      <c r="P90" s="1"/>
      <c r="Q90" s="1"/>
      <c r="R90" s="5"/>
      <c r="S90" s="1"/>
      <c r="T90" s="1"/>
      <c r="U90" s="1"/>
      <c r="V90" s="5"/>
      <c r="W90" s="1"/>
      <c r="X90" s="1"/>
      <c r="Y90" s="1"/>
      <c r="Z90" s="5"/>
    </row>
    <row r="91" spans="1:26" s="22" customFormat="1" collapsed="1" x14ac:dyDescent="0.25">
      <c r="A91" s="10"/>
      <c r="B91" s="25" t="s">
        <v>0</v>
      </c>
      <c r="C91" s="10"/>
      <c r="D91" s="4">
        <f>SUM(OSRRefD25x_0)</f>
        <v>48195.62</v>
      </c>
      <c r="E91" s="4"/>
      <c r="F91" s="12">
        <f t="shared" ref="F91:F93" si="64">IF(D$12=0,0,D91/D$12)</f>
        <v>0</v>
      </c>
      <c r="G91" s="4"/>
      <c r="H91" s="4">
        <f>SUM(OSRRefH25x_0)</f>
        <v>17275</v>
      </c>
      <c r="I91" s="4"/>
      <c r="J91" s="12">
        <f t="shared" ref="J91:J93" si="65">IF(H$12=0,0,H91/H$12)</f>
        <v>0</v>
      </c>
      <c r="K91" s="4"/>
      <c r="L91" s="4">
        <f t="shared" ref="L91:L93" si="66">+D91-H91</f>
        <v>30920.620000000003</v>
      </c>
      <c r="M91" s="4"/>
      <c r="N91" s="12">
        <f t="shared" ref="N91:N93" si="67">IF(H91=0,0,L91/H91)</f>
        <v>1.7899056439942114</v>
      </c>
      <c r="O91" s="10"/>
      <c r="P91" s="4">
        <f>SUM(OSRRefP25x_0)</f>
        <v>65220.93</v>
      </c>
      <c r="Q91" s="4"/>
      <c r="R91" s="12">
        <f t="shared" ref="R91:R93" si="68">IF(P$12=0,0,P91/P$12)</f>
        <v>0</v>
      </c>
      <c r="S91" s="4"/>
      <c r="T91" s="4">
        <f>SUM(OSRRefT25x_0)</f>
        <v>34550</v>
      </c>
      <c r="U91" s="4"/>
      <c r="V91" s="12">
        <f t="shared" ref="V91:V93" si="69">IF(T$12=0,0,T91/T$12)</f>
        <v>0</v>
      </c>
      <c r="W91" s="4"/>
      <c r="X91" s="4">
        <f t="shared" ref="X91:X93" si="70">+P91-T91</f>
        <v>30670.93</v>
      </c>
      <c r="Y91" s="4"/>
      <c r="Z91" s="12">
        <f t="shared" ref="Z91:Z93" si="71">IF(T91=0,0,X91/T91)</f>
        <v>0.88772590448625177</v>
      </c>
    </row>
    <row r="92" spans="1:26" s="24" customFormat="1" hidden="1" outlineLevel="1" x14ac:dyDescent="0.25">
      <c r="A92" s="51"/>
      <c r="B92" s="11" t="str">
        <f>CONCATENATE("          ", "9150", " - ", "MISC. INCOME")</f>
        <v xml:space="preserve">          9150 - MISC. INCOME</v>
      </c>
      <c r="C92" s="11"/>
      <c r="D92" s="2">
        <f>--48195.62</f>
        <v>48195.62</v>
      </c>
      <c r="E92" s="2"/>
      <c r="F92" s="23">
        <f t="shared" si="64"/>
        <v>0</v>
      </c>
      <c r="G92" s="2"/>
      <c r="H92" s="2">
        <v>2100</v>
      </c>
      <c r="I92" s="2"/>
      <c r="J92" s="23">
        <f t="shared" si="65"/>
        <v>0</v>
      </c>
      <c r="K92" s="2"/>
      <c r="L92" s="2">
        <f t="shared" si="66"/>
        <v>46095.62</v>
      </c>
      <c r="M92" s="2"/>
      <c r="N92" s="23">
        <f t="shared" si="67"/>
        <v>21.95029523809524</v>
      </c>
      <c r="O92" s="11"/>
      <c r="P92" s="2">
        <f>--65220.93</f>
        <v>65220.93</v>
      </c>
      <c r="Q92" s="2"/>
      <c r="R92" s="23">
        <f t="shared" si="68"/>
        <v>0</v>
      </c>
      <c r="S92" s="2"/>
      <c r="T92" s="2">
        <v>4200</v>
      </c>
      <c r="U92" s="2"/>
      <c r="V92" s="23">
        <f t="shared" si="69"/>
        <v>0</v>
      </c>
      <c r="W92" s="2"/>
      <c r="X92" s="2">
        <f t="shared" si="70"/>
        <v>61020.93</v>
      </c>
      <c r="Y92" s="2"/>
      <c r="Z92" s="23">
        <f t="shared" si="71"/>
        <v>14.528792857142857</v>
      </c>
    </row>
    <row r="93" spans="1:26" s="24" customFormat="1" hidden="1" outlineLevel="1" x14ac:dyDescent="0.25">
      <c r="A93" s="51"/>
      <c r="B93" s="11" t="str">
        <f>CONCATENATE("          ", "9151", " - ", "MISC. INCOME")</f>
        <v xml:space="preserve">          9151 - MISC. INCOME</v>
      </c>
      <c r="C93" s="11"/>
      <c r="D93" s="2">
        <f>0</f>
        <v>0</v>
      </c>
      <c r="E93" s="2"/>
      <c r="F93" s="23">
        <f t="shared" si="64"/>
        <v>0</v>
      </c>
      <c r="G93" s="2"/>
      <c r="H93" s="2">
        <v>15175</v>
      </c>
      <c r="I93" s="2"/>
      <c r="J93" s="23">
        <f t="shared" si="65"/>
        <v>0</v>
      </c>
      <c r="K93" s="2"/>
      <c r="L93" s="2">
        <f t="shared" si="66"/>
        <v>-15175</v>
      </c>
      <c r="M93" s="2"/>
      <c r="N93" s="23">
        <f t="shared" si="67"/>
        <v>-1</v>
      </c>
      <c r="O93" s="11"/>
      <c r="P93" s="2">
        <f>0</f>
        <v>0</v>
      </c>
      <c r="Q93" s="2"/>
      <c r="R93" s="23">
        <f t="shared" si="68"/>
        <v>0</v>
      </c>
      <c r="S93" s="2"/>
      <c r="T93" s="2">
        <v>30350</v>
      </c>
      <c r="U93" s="2"/>
      <c r="V93" s="23">
        <f t="shared" si="69"/>
        <v>0</v>
      </c>
      <c r="W93" s="2"/>
      <c r="X93" s="2">
        <f t="shared" si="70"/>
        <v>-30350</v>
      </c>
      <c r="Y93" s="2"/>
      <c r="Z93" s="23">
        <f t="shared" si="71"/>
        <v>-1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2" customFormat="1" x14ac:dyDescent="0.25">
      <c r="A95" s="10"/>
      <c r="B95" s="26" t="s">
        <v>3</v>
      </c>
      <c r="C95" s="26"/>
      <c r="D95" s="21">
        <f>+D16-D18+D91</f>
        <v>-93767.040000000037</v>
      </c>
      <c r="E95" s="13"/>
      <c r="F95" s="20">
        <f>IF(D$12=0,0,D95/D$12)</f>
        <v>0</v>
      </c>
      <c r="G95" s="13"/>
      <c r="H95" s="21">
        <f>+H16-H18+H91</f>
        <v>-186471.81752033846</v>
      </c>
      <c r="I95" s="13"/>
      <c r="J95" s="20">
        <f>IF(H$12=0,0,H95/H$12)</f>
        <v>0</v>
      </c>
      <c r="K95" s="16"/>
      <c r="L95" s="21">
        <f>+D95-H95</f>
        <v>92704.777520338423</v>
      </c>
      <c r="M95" s="16"/>
      <c r="N95" s="20">
        <f>IF(H95=0,0,L95/H95)</f>
        <v>-0.49715168089798406</v>
      </c>
      <c r="O95" s="25"/>
      <c r="P95" s="21">
        <f>+P16-P18+P91</f>
        <v>-242158.43</v>
      </c>
      <c r="Q95" s="13"/>
      <c r="R95" s="20">
        <f>IF(P$12=0,0,P95/P$12)</f>
        <v>0</v>
      </c>
      <c r="S95" s="13"/>
      <c r="T95" s="21">
        <f>+T16-T18+T91</f>
        <v>-346340.39739576157</v>
      </c>
      <c r="U95" s="13"/>
      <c r="V95" s="20">
        <f>IF(T$12=0,0,T95/T$12)</f>
        <v>0</v>
      </c>
      <c r="W95" s="16"/>
      <c r="X95" s="21">
        <f>+P95-T95</f>
        <v>104181.96739576157</v>
      </c>
      <c r="Y95" s="16"/>
      <c r="Z95" s="20">
        <f>IF(T95=0,0,X95/T95)</f>
        <v>-0.30080801482916047</v>
      </c>
    </row>
    <row r="96" spans="1:26" x14ac:dyDescent="0.25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2" customFormat="1" x14ac:dyDescent="0.25">
      <c r="A97" s="52"/>
      <c r="B97" s="10" t="s">
        <v>14</v>
      </c>
      <c r="C97" s="10"/>
      <c r="D97" s="4"/>
      <c r="E97" s="4"/>
      <c r="F97" s="12">
        <f>IF(D$12=0,0,D97/D$12)</f>
        <v>0</v>
      </c>
      <c r="G97" s="4"/>
      <c r="H97" s="4"/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/>
      <c r="Q97" s="4"/>
      <c r="R97" s="12">
        <f>IF(P$12=0,0,P97/P$12)</f>
        <v>0</v>
      </c>
      <c r="S97" s="4"/>
      <c r="T97" s="4"/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2" customFormat="1" ht="15.75" thickBot="1" x14ac:dyDescent="0.3">
      <c r="A99" s="10"/>
      <c r="B99" s="26" t="s">
        <v>4</v>
      </c>
      <c r="C99" s="26"/>
      <c r="D99" s="33">
        <f>+D95-D97</f>
        <v>-93767.040000000037</v>
      </c>
      <c r="E99" s="13"/>
      <c r="F99" s="31">
        <f>IF(D$12=0,0,D99/D$12)</f>
        <v>0</v>
      </c>
      <c r="G99" s="13"/>
      <c r="H99" s="33">
        <f>+H95-H97</f>
        <v>-186471.81752033846</v>
      </c>
      <c r="I99" s="13"/>
      <c r="J99" s="31">
        <f>IF(H$12=0,0,H99/H$12)</f>
        <v>0</v>
      </c>
      <c r="K99" s="16"/>
      <c r="L99" s="33">
        <f>D99-H99</f>
        <v>92704.777520338423</v>
      </c>
      <c r="M99" s="16"/>
      <c r="N99" s="31">
        <f>IF(H99=0,0,L99/H99)</f>
        <v>-0.49715168089798406</v>
      </c>
      <c r="O99" s="25"/>
      <c r="P99" s="33">
        <f>+P95-P97</f>
        <v>-242158.43</v>
      </c>
      <c r="Q99" s="13"/>
      <c r="R99" s="31">
        <f>IF(P$12=0,0,P99/P$12)</f>
        <v>0</v>
      </c>
      <c r="S99" s="13"/>
      <c r="T99" s="33">
        <f>+T95-T97</f>
        <v>-346340.39739576157</v>
      </c>
      <c r="U99" s="13"/>
      <c r="V99" s="31">
        <f>IF(T$12=0,0,T99/T$12)</f>
        <v>0</v>
      </c>
      <c r="W99" s="16"/>
      <c r="X99" s="33">
        <f>P99-T99</f>
        <v>104181.96739576157</v>
      </c>
      <c r="Y99" s="16"/>
      <c r="Z99" s="31">
        <f>IF(T99=0,0,X99/T99)</f>
        <v>-0.30080801482916047</v>
      </c>
    </row>
    <row r="100" spans="1:26" ht="15.75" thickTop="1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2" customFormat="1" ht="15.75" thickBot="1" x14ac:dyDescent="0.3">
      <c r="A102" s="10"/>
      <c r="B102" s="26" t="s">
        <v>5</v>
      </c>
      <c r="C102" s="26"/>
      <c r="D102" s="32">
        <f>SUM(D99:D101)</f>
        <v>-93767.040000000037</v>
      </c>
      <c r="E102" s="13"/>
      <c r="F102" s="35">
        <f>IF(D$12=0,0,D102/D$12)</f>
        <v>0</v>
      </c>
      <c r="G102" s="13"/>
      <c r="H102" s="32">
        <f>SUM(H99:H101)</f>
        <v>-186471.81752033846</v>
      </c>
      <c r="I102" s="13"/>
      <c r="J102" s="35">
        <f>IF(H$12=0,0,H102/H$12)</f>
        <v>0</v>
      </c>
      <c r="K102" s="16"/>
      <c r="L102" s="32">
        <f>+D102-H102</f>
        <v>92704.777520338423</v>
      </c>
      <c r="M102" s="16"/>
      <c r="N102" s="35">
        <f>IF(H102=0,0,L102/H102)</f>
        <v>-0.49715168089798406</v>
      </c>
      <c r="O102" s="25"/>
      <c r="P102" s="32">
        <f>SUM(P99:P101)</f>
        <v>-242158.43</v>
      </c>
      <c r="Q102" s="13"/>
      <c r="R102" s="35">
        <f>IF(P$12=0,0,P102/P$12)</f>
        <v>0</v>
      </c>
      <c r="S102" s="13"/>
      <c r="T102" s="32">
        <f>SUM(T99:T101)</f>
        <v>-346340.39739576157</v>
      </c>
      <c r="U102" s="13"/>
      <c r="V102" s="35">
        <f>IF(T$12=0,0,T102/T$12)</f>
        <v>0</v>
      </c>
      <c r="W102" s="16"/>
      <c r="X102" s="32">
        <f>+P102-T102</f>
        <v>104181.96739576157</v>
      </c>
      <c r="Y102" s="16"/>
      <c r="Z102" s="35">
        <f>IF(T102=0,0,X102/T102)</f>
        <v>-0.30080801482916047</v>
      </c>
    </row>
    <row r="103" spans="1:26" ht="15.75" thickTop="1" x14ac:dyDescent="0.25">
      <c r="A103" s="9"/>
      <c r="C103" s="9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59">
        <v>44113.689316516204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2" t="s">
        <v>314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3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306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12397.94</v>
      </c>
      <c r="E12" s="4"/>
      <c r="F12" s="12"/>
      <c r="G12" s="4"/>
      <c r="H12" s="4">
        <f>SUM(OSRRefH13x_0)</f>
        <v>5326</v>
      </c>
      <c r="I12" s="4"/>
      <c r="J12" s="12"/>
      <c r="K12" s="4"/>
      <c r="L12" s="4">
        <f t="shared" ref="L12:L20" si="0">+D12-H12</f>
        <v>7071.9400000000005</v>
      </c>
      <c r="M12" s="4"/>
      <c r="N12" s="12">
        <f t="shared" ref="N12:N20" si="1">IF(H12=0,0,L12/H12)</f>
        <v>1.3278144949305295</v>
      </c>
      <c r="O12" s="10"/>
      <c r="P12" s="4">
        <f>SUM(OSRRefP13x_0)</f>
        <v>12397.94</v>
      </c>
      <c r="Q12" s="4"/>
      <c r="R12" s="12"/>
      <c r="S12" s="4"/>
      <c r="T12" s="4">
        <f>SUM(OSRRefT13x_0)</f>
        <v>5326</v>
      </c>
      <c r="U12" s="4"/>
      <c r="V12" s="12"/>
      <c r="W12" s="4"/>
      <c r="X12" s="4">
        <f t="shared" ref="X12:X20" si="2">+P12-T12</f>
        <v>7071.9400000000005</v>
      </c>
      <c r="Y12" s="4"/>
      <c r="Z12" s="12">
        <f t="shared" ref="Z12:Z20" si="3">IF(T12=0,0,X12/T12)</f>
        <v>1.3278144949305295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-1069.53</f>
        <v>-1069.53</v>
      </c>
      <c r="E13" s="2"/>
      <c r="F13" s="23"/>
      <c r="G13" s="2"/>
      <c r="H13" s="2"/>
      <c r="I13" s="2"/>
      <c r="J13" s="23"/>
      <c r="K13" s="2"/>
      <c r="L13" s="2">
        <f t="shared" si="0"/>
        <v>-1069.53</v>
      </c>
      <c r="M13" s="2"/>
      <c r="N13" s="23">
        <f t="shared" si="1"/>
        <v>0</v>
      </c>
      <c r="O13" s="11"/>
      <c r="P13" s="2">
        <f>-1069.53</f>
        <v>-1069.53</v>
      </c>
      <c r="Q13" s="2"/>
      <c r="R13" s="23"/>
      <c r="S13" s="2"/>
      <c r="T13" s="2"/>
      <c r="U13" s="2"/>
      <c r="V13" s="23"/>
      <c r="W13" s="2"/>
      <c r="X13" s="2">
        <f t="shared" si="2"/>
        <v>-1069.53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"4027", " - ", "TAXABLE SALES-SCHOOL SUPPLIES")</f>
        <v xml:space="preserve">          4027 - TAXABLE SALES-SCHOOL SUPPLIES</v>
      </c>
      <c r="C14" s="11"/>
      <c r="D14" s="2">
        <f>--3388.87</f>
        <v>3388.87</v>
      </c>
      <c r="E14" s="2"/>
      <c r="F14" s="23"/>
      <c r="G14" s="2"/>
      <c r="H14" s="2"/>
      <c r="I14" s="2"/>
      <c r="J14" s="23"/>
      <c r="K14" s="2"/>
      <c r="L14" s="2">
        <f t="shared" si="0"/>
        <v>3388.87</v>
      </c>
      <c r="M14" s="2"/>
      <c r="N14" s="23">
        <f t="shared" si="1"/>
        <v>0</v>
      </c>
      <c r="O14" s="11"/>
      <c r="P14" s="2">
        <f>--3388.87</f>
        <v>3388.87</v>
      </c>
      <c r="Q14" s="2"/>
      <c r="R14" s="23"/>
      <c r="S14" s="2"/>
      <c r="T14" s="2"/>
      <c r="U14" s="2"/>
      <c r="V14" s="23"/>
      <c r="W14" s="2"/>
      <c r="X14" s="2">
        <f t="shared" si="2"/>
        <v>3388.87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"4028", " - ", "TAXABLE SALES-ART/TECH")</f>
        <v xml:space="preserve">          4028 - TAXABLE SALES-ART/TECH</v>
      </c>
      <c r="C15" s="11"/>
      <c r="D15" s="2">
        <f>--9671.25</f>
        <v>9671.25</v>
      </c>
      <c r="E15" s="2"/>
      <c r="F15" s="23"/>
      <c r="G15" s="2"/>
      <c r="H15" s="2"/>
      <c r="I15" s="2"/>
      <c r="J15" s="23"/>
      <c r="K15" s="2"/>
      <c r="L15" s="2">
        <f t="shared" si="0"/>
        <v>9671.25</v>
      </c>
      <c r="M15" s="2"/>
      <c r="N15" s="23">
        <f t="shared" si="1"/>
        <v>0</v>
      </c>
      <c r="O15" s="11"/>
      <c r="P15" s="2">
        <f>--9671.25</f>
        <v>9671.25</v>
      </c>
      <c r="Q15" s="2"/>
      <c r="R15" s="23"/>
      <c r="S15" s="2"/>
      <c r="T15" s="2"/>
      <c r="U15" s="2"/>
      <c r="V15" s="23"/>
      <c r="W15" s="2"/>
      <c r="X15" s="2">
        <f t="shared" si="2"/>
        <v>9671.25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"4031", " - ", "TAXABLE SALES-FOOD")</f>
        <v xml:space="preserve">          4031 - TAXABLE SALES-FOOD</v>
      </c>
      <c r="C16" s="11"/>
      <c r="D16" s="2">
        <f>--125.04</f>
        <v>125.04</v>
      </c>
      <c r="E16" s="2"/>
      <c r="F16" s="23"/>
      <c r="G16" s="2"/>
      <c r="H16" s="2"/>
      <c r="I16" s="2"/>
      <c r="J16" s="23"/>
      <c r="K16" s="2"/>
      <c r="L16" s="2">
        <f t="shared" si="0"/>
        <v>125.04</v>
      </c>
      <c r="M16" s="2"/>
      <c r="N16" s="23">
        <f t="shared" si="1"/>
        <v>0</v>
      </c>
      <c r="O16" s="11"/>
      <c r="P16" s="2">
        <f>--125.04</f>
        <v>125.04</v>
      </c>
      <c r="Q16" s="2"/>
      <c r="R16" s="23"/>
      <c r="S16" s="2"/>
      <c r="T16" s="2"/>
      <c r="U16" s="2"/>
      <c r="V16" s="23"/>
      <c r="W16" s="2"/>
      <c r="X16" s="2">
        <f t="shared" si="2"/>
        <v>125.04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3"/>
      <c r="G17" s="2"/>
      <c r="H17" s="2">
        <v>5326</v>
      </c>
      <c r="I17" s="2"/>
      <c r="J17" s="23"/>
      <c r="K17" s="2"/>
      <c r="L17" s="2">
        <f t="shared" si="0"/>
        <v>-5326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5326</v>
      </c>
      <c r="U17" s="2"/>
      <c r="V17" s="23"/>
      <c r="W17" s="2"/>
      <c r="X17" s="2">
        <f t="shared" si="2"/>
        <v>-5326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"4131", " - ", "NON-TAXABLE SALES-FOOD")</f>
        <v xml:space="preserve">          4131 - NON-TAXABLE SALES-FOOD</v>
      </c>
      <c r="C18" s="11"/>
      <c r="D18" s="2">
        <f>--587.14</f>
        <v>587.14</v>
      </c>
      <c r="E18" s="2"/>
      <c r="F18" s="23"/>
      <c r="G18" s="2"/>
      <c r="H18" s="2"/>
      <c r="I18" s="2"/>
      <c r="J18" s="23"/>
      <c r="K18" s="2"/>
      <c r="L18" s="2">
        <f t="shared" si="0"/>
        <v>587.14</v>
      </c>
      <c r="M18" s="2"/>
      <c r="N18" s="23">
        <f t="shared" si="1"/>
        <v>0</v>
      </c>
      <c r="O18" s="11"/>
      <c r="P18" s="2">
        <f>--587.14</f>
        <v>587.14</v>
      </c>
      <c r="Q18" s="2"/>
      <c r="R18" s="23"/>
      <c r="S18" s="2"/>
      <c r="T18" s="2"/>
      <c r="U18" s="2"/>
      <c r="V18" s="23"/>
      <c r="W18" s="2"/>
      <c r="X18" s="2">
        <f t="shared" si="2"/>
        <v>587.14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"4227", " - ", "SALES RETURN TAXABLE-SCHOOL SU")</f>
        <v xml:space="preserve">          4227 - SALES RETURN TAXABLE-SCHOOL SU</v>
      </c>
      <c r="C19" s="11"/>
      <c r="D19" s="2">
        <f>-140.39</f>
        <v>-140.38999999999999</v>
      </c>
      <c r="E19" s="2"/>
      <c r="F19" s="23"/>
      <c r="G19" s="2"/>
      <c r="H19" s="2"/>
      <c r="I19" s="2"/>
      <c r="J19" s="23"/>
      <c r="K19" s="2"/>
      <c r="L19" s="2">
        <f t="shared" si="0"/>
        <v>-140.38999999999999</v>
      </c>
      <c r="M19" s="2"/>
      <c r="N19" s="23">
        <f t="shared" si="1"/>
        <v>0</v>
      </c>
      <c r="O19" s="11"/>
      <c r="P19" s="2">
        <f>-140.39</f>
        <v>-140.38999999999999</v>
      </c>
      <c r="Q19" s="2"/>
      <c r="R19" s="23"/>
      <c r="S19" s="2"/>
      <c r="T19" s="2"/>
      <c r="U19" s="2"/>
      <c r="V19" s="23"/>
      <c r="W19" s="2"/>
      <c r="X19" s="2">
        <f t="shared" si="2"/>
        <v>-140.38999999999999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"4228", " - ", "SALES RETURN TAXABLE-ART/TECH")</f>
        <v xml:space="preserve">          4228 - SALES RETURN TAXABLE-ART/TECH</v>
      </c>
      <c r="C20" s="11"/>
      <c r="D20" s="2">
        <f>-164.44</f>
        <v>-164.44</v>
      </c>
      <c r="E20" s="2"/>
      <c r="F20" s="23"/>
      <c r="G20" s="2"/>
      <c r="H20" s="2"/>
      <c r="I20" s="2"/>
      <c r="J20" s="23"/>
      <c r="K20" s="2"/>
      <c r="L20" s="2">
        <f t="shared" si="0"/>
        <v>-164.44</v>
      </c>
      <c r="M20" s="2"/>
      <c r="N20" s="23">
        <f t="shared" si="1"/>
        <v>0</v>
      </c>
      <c r="O20" s="11"/>
      <c r="P20" s="2">
        <f>-164.44</f>
        <v>-164.44</v>
      </c>
      <c r="Q20" s="2"/>
      <c r="R20" s="23"/>
      <c r="S20" s="2"/>
      <c r="T20" s="2"/>
      <c r="U20" s="2"/>
      <c r="V20" s="23"/>
      <c r="W20" s="2"/>
      <c r="X20" s="2">
        <f t="shared" si="2"/>
        <v>-164.44</v>
      </c>
      <c r="Y20" s="2"/>
      <c r="Z20" s="23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collapsed="1" x14ac:dyDescent="0.25">
      <c r="A22" s="10"/>
      <c r="B22" s="25" t="s">
        <v>8</v>
      </c>
      <c r="C22" s="10"/>
      <c r="D22" s="4">
        <f>SUM(OSRRefD16x_0)</f>
        <v>9005</v>
      </c>
      <c r="E22" s="4"/>
      <c r="F22" s="12">
        <f t="shared" ref="F22:F25" si="4">IF(D$12=0,0,D22/D$12)</f>
        <v>0.72633034197616697</v>
      </c>
      <c r="G22" s="4"/>
      <c r="H22" s="4">
        <f>SUM(OSRRefH16x_0)</f>
        <v>2865</v>
      </c>
      <c r="I22" s="4"/>
      <c r="J22" s="12">
        <f t="shared" ref="J22:J25" si="5">IF(H$12=0,0,H22/H$12)</f>
        <v>0.53792714983101764</v>
      </c>
      <c r="K22" s="4"/>
      <c r="L22" s="4">
        <f t="shared" ref="L22:L25" si="6">+D22-H22</f>
        <v>6140</v>
      </c>
      <c r="M22" s="4"/>
      <c r="N22" s="12">
        <f t="shared" ref="N22:N25" si="7">IF(H22=0,0,L22/H22)</f>
        <v>2.1431064572425829</v>
      </c>
      <c r="O22" s="10"/>
      <c r="P22" s="4">
        <f>SUM(OSRRefP16x_0)</f>
        <v>9043.0499999999993</v>
      </c>
      <c r="Q22" s="4"/>
      <c r="R22" s="12">
        <f t="shared" ref="R22:R25" si="8">IF(P$12=0,0,P22/P$12)</f>
        <v>0.72939940022294014</v>
      </c>
      <c r="S22" s="4"/>
      <c r="T22" s="4">
        <f>SUM(OSRRefT16x_0)</f>
        <v>2865</v>
      </c>
      <c r="U22" s="4"/>
      <c r="V22" s="12">
        <f t="shared" ref="V22:V25" si="9">IF(T$12=0,0,T22/T$12)</f>
        <v>0.53792714983101764</v>
      </c>
      <c r="W22" s="4"/>
      <c r="X22" s="4">
        <f t="shared" ref="X22:X25" si="10">+P22-T22</f>
        <v>6178.0499999999993</v>
      </c>
      <c r="Y22" s="4"/>
      <c r="Z22" s="12">
        <f t="shared" ref="Z22:Z25" si="11">IF(T22=0,0,X22/T22)</f>
        <v>2.1563874345549734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3">
        <f t="shared" si="4"/>
        <v>0</v>
      </c>
      <c r="G23" s="2"/>
      <c r="H23" s="2">
        <v>2865</v>
      </c>
      <c r="I23" s="2"/>
      <c r="J23" s="23">
        <f t="shared" si="5"/>
        <v>0.53792714983101764</v>
      </c>
      <c r="K23" s="2"/>
      <c r="L23" s="2">
        <f t="shared" si="6"/>
        <v>-2865</v>
      </c>
      <c r="M23" s="2"/>
      <c r="N23" s="23">
        <f t="shared" si="7"/>
        <v>-1</v>
      </c>
      <c r="O23" s="11"/>
      <c r="P23" s="2"/>
      <c r="Q23" s="2"/>
      <c r="R23" s="23">
        <f t="shared" si="8"/>
        <v>0</v>
      </c>
      <c r="S23" s="2"/>
      <c r="T23" s="2">
        <v>2865</v>
      </c>
      <c r="U23" s="2"/>
      <c r="V23" s="23">
        <f t="shared" si="9"/>
        <v>0.53792714983101764</v>
      </c>
      <c r="W23" s="2"/>
      <c r="X23" s="2">
        <f t="shared" si="10"/>
        <v>-2865</v>
      </c>
      <c r="Y23" s="2"/>
      <c r="Z23" s="23">
        <f t="shared" si="11"/>
        <v>-1</v>
      </c>
    </row>
    <row r="24" spans="1:26" s="24" customFormat="1" hidden="1" outlineLevel="1" x14ac:dyDescent="0.25">
      <c r="A24" s="51"/>
      <c r="B24" s="11" t="str">
        <f>CONCATENATE("          ", "5300", " - ", "COG$ OFFSET")</f>
        <v xml:space="preserve">          5300 - COG$ OFFSET</v>
      </c>
      <c r="C24" s="11"/>
      <c r="D24" s="2">
        <v>9005</v>
      </c>
      <c r="E24" s="2"/>
      <c r="F24" s="23">
        <f t="shared" si="4"/>
        <v>0.72633034197616697</v>
      </c>
      <c r="G24" s="2"/>
      <c r="H24" s="2"/>
      <c r="I24" s="2"/>
      <c r="J24" s="23">
        <f t="shared" si="5"/>
        <v>0</v>
      </c>
      <c r="K24" s="2"/>
      <c r="L24" s="2">
        <f t="shared" si="6"/>
        <v>9005</v>
      </c>
      <c r="M24" s="2"/>
      <c r="N24" s="23">
        <f t="shared" si="7"/>
        <v>0</v>
      </c>
      <c r="O24" s="11"/>
      <c r="P24" s="2">
        <v>9005</v>
      </c>
      <c r="Q24" s="2"/>
      <c r="R24" s="23">
        <f t="shared" si="8"/>
        <v>0.72633034197616697</v>
      </c>
      <c r="S24" s="2"/>
      <c r="T24" s="2"/>
      <c r="U24" s="2"/>
      <c r="V24" s="23">
        <f t="shared" si="9"/>
        <v>0</v>
      </c>
      <c r="W24" s="2"/>
      <c r="X24" s="2">
        <f t="shared" si="10"/>
        <v>9005</v>
      </c>
      <c r="Y24" s="2"/>
      <c r="Z24" s="23">
        <f t="shared" si="11"/>
        <v>0</v>
      </c>
    </row>
    <row r="25" spans="1:26" s="24" customFormat="1" hidden="1" outlineLevel="1" x14ac:dyDescent="0.25">
      <c r="A25" s="51"/>
      <c r="B25" s="11" t="str">
        <f>CONCATENATE("          ", "5528", " - ", "FREIGHT-IN-ART/TECH")</f>
        <v xml:space="preserve">          5528 - FREIGHT-IN-ART/TECH</v>
      </c>
      <c r="C25" s="11"/>
      <c r="D25" s="2"/>
      <c r="E25" s="2"/>
      <c r="F25" s="23">
        <f t="shared" si="4"/>
        <v>0</v>
      </c>
      <c r="G25" s="2"/>
      <c r="H25" s="2"/>
      <c r="I25" s="2"/>
      <c r="J25" s="23">
        <f t="shared" si="5"/>
        <v>0</v>
      </c>
      <c r="K25" s="2"/>
      <c r="L25" s="2">
        <f t="shared" si="6"/>
        <v>0</v>
      </c>
      <c r="M25" s="2"/>
      <c r="N25" s="23">
        <f t="shared" si="7"/>
        <v>0</v>
      </c>
      <c r="O25" s="11"/>
      <c r="P25" s="2">
        <v>38.049999999999997</v>
      </c>
      <c r="Q25" s="2"/>
      <c r="R25" s="23">
        <f t="shared" si="8"/>
        <v>3.0690582467732541E-3</v>
      </c>
      <c r="S25" s="2"/>
      <c r="T25" s="2"/>
      <c r="U25" s="2"/>
      <c r="V25" s="23">
        <f t="shared" si="9"/>
        <v>0</v>
      </c>
      <c r="W25" s="2"/>
      <c r="X25" s="2">
        <f t="shared" si="10"/>
        <v>38.049999999999997</v>
      </c>
      <c r="Y25" s="2"/>
      <c r="Z25" s="23">
        <f t="shared" si="11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6</v>
      </c>
      <c r="C27" s="26"/>
      <c r="D27" s="21">
        <f>D12-D22</f>
        <v>3392.9400000000005</v>
      </c>
      <c r="E27" s="13"/>
      <c r="F27" s="20">
        <f>IF(D$12=0,0,D27/D$12)</f>
        <v>0.27366965802383303</v>
      </c>
      <c r="G27" s="13"/>
      <c r="H27" s="21">
        <f>H12-H22</f>
        <v>2461</v>
      </c>
      <c r="I27" s="13"/>
      <c r="J27" s="20">
        <f>IF(H$12=0,0,H27/H$12)</f>
        <v>0.46207285016898236</v>
      </c>
      <c r="K27" s="16"/>
      <c r="L27" s="21">
        <f>+D27-H27</f>
        <v>931.94000000000051</v>
      </c>
      <c r="M27" s="16"/>
      <c r="N27" s="20">
        <f>IF(H27=0,0,L27/H27)</f>
        <v>0.37868346200731429</v>
      </c>
      <c r="O27" s="25"/>
      <c r="P27" s="21">
        <f>P12-P22</f>
        <v>3354.8900000000012</v>
      </c>
      <c r="Q27" s="13"/>
      <c r="R27" s="20">
        <f>IF(P$12=0,0,P27/P$12)</f>
        <v>0.2706005997770598</v>
      </c>
      <c r="S27" s="13"/>
      <c r="T27" s="21">
        <f>T12-T22</f>
        <v>2461</v>
      </c>
      <c r="U27" s="13"/>
      <c r="V27" s="20">
        <f>IF(T$12=0,0,T27/T$12)</f>
        <v>0.46207285016898236</v>
      </c>
      <c r="W27" s="16"/>
      <c r="X27" s="21">
        <f>+P27-T27</f>
        <v>893.89000000000124</v>
      </c>
      <c r="Y27" s="16"/>
      <c r="Z27" s="20">
        <f>IF(T27=0,0,X27/T27)</f>
        <v>0.36322226737098789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2" customFormat="1" x14ac:dyDescent="0.25">
      <c r="A29" s="10"/>
      <c r="B29" s="25" t="s">
        <v>9</v>
      </c>
      <c r="C29" s="10"/>
      <c r="D29" s="19">
        <f>SUM(OSRRefD22x_0)</f>
        <v>5481.72</v>
      </c>
      <c r="E29" s="19"/>
      <c r="F29" s="30">
        <f t="shared" ref="F29:F38" si="12">IF(D$12=0,0,D29/D$12)</f>
        <v>0.44214764710911653</v>
      </c>
      <c r="G29" s="19"/>
      <c r="H29" s="19">
        <f>SUM(OSRRefH22x_0)</f>
        <v>9309.6869880000013</v>
      </c>
      <c r="I29" s="19"/>
      <c r="J29" s="30">
        <f t="shared" ref="J29:J38" si="13">IF(H$12=0,0,H29/H$12)</f>
        <v>1.747969768681938</v>
      </c>
      <c r="K29" s="4"/>
      <c r="L29" s="19">
        <f t="shared" ref="L29:L38" si="14">+D29-H29</f>
        <v>-3827.966988000001</v>
      </c>
      <c r="M29" s="4"/>
      <c r="N29" s="30">
        <f t="shared" ref="N29:N38" si="15">IF(H29=0,0,L29/H29)</f>
        <v>-0.41118106257859938</v>
      </c>
      <c r="O29" s="10"/>
      <c r="P29" s="19">
        <f>SUM(OSRRefP22x_0)</f>
        <v>6585.0700000000006</v>
      </c>
      <c r="Q29" s="19"/>
      <c r="R29" s="30">
        <f t="shared" ref="R29:R38" si="16">IF(P$12=0,0,P29/P$12)</f>
        <v>0.53114227040943907</v>
      </c>
      <c r="S29" s="19"/>
      <c r="T29" s="19">
        <f>SUM(OSRRefT22x_0)</f>
        <v>18129.562987999998</v>
      </c>
      <c r="U29" s="19"/>
      <c r="V29" s="30">
        <f t="shared" ref="V29:V38" si="17">IF(T$12=0,0,T29/T$12)</f>
        <v>3.4039735238452868</v>
      </c>
      <c r="W29" s="4"/>
      <c r="X29" s="19">
        <f t="shared" ref="X29:X38" si="18">+P29-T29</f>
        <v>-11544.492987999998</v>
      </c>
      <c r="Y29" s="4"/>
      <c r="Z29" s="30">
        <f t="shared" ref="Z29:Z38" si="19">IF(T29=0,0,X29/T29)</f>
        <v>-0.63677723482034987</v>
      </c>
    </row>
    <row r="30" spans="1:26" s="29" customFormat="1" outlineLevel="1" collapsed="1" x14ac:dyDescent="0.25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313.34000000000003</v>
      </c>
      <c r="E30" s="1"/>
      <c r="F30" s="5">
        <f t="shared" si="12"/>
        <v>2.5273553509695967E-2</v>
      </c>
      <c r="G30" s="1"/>
      <c r="H30" s="1">
        <f>SUM(OSRRefH22_0x_0)</f>
        <v>1799.2969880000001</v>
      </c>
      <c r="I30" s="1"/>
      <c r="J30" s="5">
        <f t="shared" si="13"/>
        <v>0.33783270521967707</v>
      </c>
      <c r="K30" s="1"/>
      <c r="L30" s="1">
        <f t="shared" si="14"/>
        <v>-1485.9569879999999</v>
      </c>
      <c r="M30" s="1"/>
      <c r="N30" s="5">
        <f t="shared" si="15"/>
        <v>-0.82585420745449489</v>
      </c>
      <c r="O30" s="14"/>
      <c r="P30" s="1">
        <f>SUM(OSRRefP22_0x_0)</f>
        <v>313.34000000000003</v>
      </c>
      <c r="Q30" s="1"/>
      <c r="R30" s="5">
        <f t="shared" si="16"/>
        <v>2.5273553509695967E-2</v>
      </c>
      <c r="S30" s="1"/>
      <c r="T30" s="1">
        <f>SUM(OSRRefT22_0x_0)</f>
        <v>3679.1729880000003</v>
      </c>
      <c r="U30" s="1"/>
      <c r="V30" s="5">
        <f t="shared" si="17"/>
        <v>0.69079477806984613</v>
      </c>
      <c r="W30" s="1"/>
      <c r="X30" s="1">
        <f t="shared" si="18"/>
        <v>-3365.8329880000001</v>
      </c>
      <c r="Y30" s="1"/>
      <c r="Z30" s="5">
        <f t="shared" si="19"/>
        <v>-0.91483412141206988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>
        <v>257.36</v>
      </c>
      <c r="E31" s="2"/>
      <c r="F31" s="7">
        <f t="shared" si="12"/>
        <v>2.0758287263851899E-2</v>
      </c>
      <c r="G31" s="2"/>
      <c r="H31" s="6">
        <v>378.08115900000001</v>
      </c>
      <c r="I31" s="2"/>
      <c r="J31" s="7">
        <f t="shared" si="13"/>
        <v>7.0987825572662408E-2</v>
      </c>
      <c r="K31" s="2"/>
      <c r="L31" s="6">
        <f t="shared" si="14"/>
        <v>-120.721159</v>
      </c>
      <c r="M31" s="2"/>
      <c r="N31" s="7">
        <f t="shared" si="15"/>
        <v>-0.31929958985340501</v>
      </c>
      <c r="O31" s="11"/>
      <c r="P31" s="6">
        <v>257.36</v>
      </c>
      <c r="Q31" s="2"/>
      <c r="R31" s="7">
        <f t="shared" si="16"/>
        <v>2.0758287263851899E-2</v>
      </c>
      <c r="S31" s="2"/>
      <c r="T31" s="6">
        <v>776.03715899999997</v>
      </c>
      <c r="U31" s="2"/>
      <c r="V31" s="7">
        <f t="shared" si="17"/>
        <v>0.14570731487044686</v>
      </c>
      <c r="W31" s="2"/>
      <c r="X31" s="6">
        <f t="shared" si="18"/>
        <v>-518.67715899999996</v>
      </c>
      <c r="Y31" s="2"/>
      <c r="Z31" s="7">
        <f t="shared" si="19"/>
        <v>-0.66836639584161972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>
        <v>47.24</v>
      </c>
      <c r="E32" s="2"/>
      <c r="F32" s="7">
        <f t="shared" si="12"/>
        <v>3.8103104225379377E-3</v>
      </c>
      <c r="G32" s="2"/>
      <c r="H32" s="6">
        <v>114.133715</v>
      </c>
      <c r="I32" s="2"/>
      <c r="J32" s="7">
        <f t="shared" si="13"/>
        <v>2.1429537176117161E-2</v>
      </c>
      <c r="K32" s="2"/>
      <c r="L32" s="6">
        <f t="shared" si="14"/>
        <v>-66.893714999999986</v>
      </c>
      <c r="M32" s="2"/>
      <c r="N32" s="7">
        <f t="shared" si="15"/>
        <v>-0.5860995149417505</v>
      </c>
      <c r="O32" s="11"/>
      <c r="P32" s="6">
        <v>47.24</v>
      </c>
      <c r="Q32" s="2"/>
      <c r="R32" s="7">
        <f t="shared" si="16"/>
        <v>3.8103104225379377E-3</v>
      </c>
      <c r="S32" s="2"/>
      <c r="T32" s="6">
        <v>210.33371500000001</v>
      </c>
      <c r="U32" s="2"/>
      <c r="V32" s="7">
        <f t="shared" si="17"/>
        <v>3.9491872887720617E-2</v>
      </c>
      <c r="W32" s="2"/>
      <c r="X32" s="6">
        <f t="shared" si="18"/>
        <v>-163.093715</v>
      </c>
      <c r="Y32" s="2"/>
      <c r="Z32" s="7">
        <f t="shared" si="19"/>
        <v>-0.77540452799019877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2"/>
        <v>0</v>
      </c>
      <c r="G33" s="2"/>
      <c r="H33" s="6">
        <v>665</v>
      </c>
      <c r="I33" s="2"/>
      <c r="J33" s="7">
        <f t="shared" si="13"/>
        <v>0.12485918137438978</v>
      </c>
      <c r="K33" s="2"/>
      <c r="L33" s="6">
        <f t="shared" si="14"/>
        <v>-665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1330</v>
      </c>
      <c r="U33" s="2"/>
      <c r="V33" s="7">
        <f t="shared" si="17"/>
        <v>0.24971836274877957</v>
      </c>
      <c r="W33" s="2"/>
      <c r="X33" s="6">
        <f t="shared" si="18"/>
        <v>-1330</v>
      </c>
      <c r="Y33" s="2"/>
      <c r="Z33" s="7">
        <f t="shared" si="19"/>
        <v>-1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>
        <v>8.74</v>
      </c>
      <c r="E34" s="2"/>
      <c r="F34" s="7">
        <f t="shared" si="12"/>
        <v>7.0495582330612992E-4</v>
      </c>
      <c r="G34" s="2"/>
      <c r="H34" s="6">
        <v>16.040413999999998</v>
      </c>
      <c r="I34" s="2"/>
      <c r="J34" s="7">
        <f t="shared" si="13"/>
        <v>3.0117187382651144E-3</v>
      </c>
      <c r="K34" s="2"/>
      <c r="L34" s="6">
        <f t="shared" si="14"/>
        <v>-7.3004139999999982</v>
      </c>
      <c r="M34" s="2"/>
      <c r="N34" s="7">
        <f t="shared" si="15"/>
        <v>-0.45512628290017942</v>
      </c>
      <c r="O34" s="11"/>
      <c r="P34" s="6">
        <v>8.74</v>
      </c>
      <c r="Q34" s="2"/>
      <c r="R34" s="7">
        <f t="shared" si="16"/>
        <v>7.0495582330612992E-4</v>
      </c>
      <c r="S34" s="2"/>
      <c r="T34" s="6">
        <v>29.560414000000002</v>
      </c>
      <c r="U34" s="2"/>
      <c r="V34" s="7">
        <f t="shared" si="17"/>
        <v>5.550209162598573E-3</v>
      </c>
      <c r="W34" s="2"/>
      <c r="X34" s="6">
        <f t="shared" si="18"/>
        <v>-20.820414</v>
      </c>
      <c r="Y34" s="2"/>
      <c r="Z34" s="7">
        <f t="shared" si="19"/>
        <v>-0.70433431683331627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2"/>
        <v>0</v>
      </c>
      <c r="G35" s="2"/>
      <c r="H35" s="6">
        <v>357.76</v>
      </c>
      <c r="I35" s="2"/>
      <c r="J35" s="7">
        <f t="shared" si="13"/>
        <v>6.7172361997746899E-2</v>
      </c>
      <c r="K35" s="2"/>
      <c r="L35" s="6">
        <f t="shared" si="14"/>
        <v>-357.76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804.96</v>
      </c>
      <c r="U35" s="2"/>
      <c r="V35" s="7">
        <f t="shared" si="17"/>
        <v>0.15113781449493052</v>
      </c>
      <c r="W35" s="2"/>
      <c r="X35" s="6">
        <f t="shared" si="18"/>
        <v>-804.96</v>
      </c>
      <c r="Y35" s="2"/>
      <c r="Z35" s="7">
        <f t="shared" si="19"/>
        <v>-1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2"/>
        <v>0</v>
      </c>
      <c r="G37" s="2"/>
      <c r="H37" s="6">
        <v>124.8</v>
      </c>
      <c r="I37" s="2"/>
      <c r="J37" s="7">
        <f t="shared" si="13"/>
        <v>2.3432219301539617E-2</v>
      </c>
      <c r="K37" s="2"/>
      <c r="L37" s="6">
        <f t="shared" si="14"/>
        <v>-124.8</v>
      </c>
      <c r="M37" s="2"/>
      <c r="N37" s="7">
        <f t="shared" si="15"/>
        <v>-1</v>
      </c>
      <c r="O37" s="11"/>
      <c r="P37" s="6"/>
      <c r="Q37" s="2"/>
      <c r="R37" s="7">
        <f t="shared" si="16"/>
        <v>0</v>
      </c>
      <c r="S37" s="2"/>
      <c r="T37" s="6">
        <v>280.8</v>
      </c>
      <c r="U37" s="2"/>
      <c r="V37" s="7">
        <f t="shared" si="17"/>
        <v>5.2722493428464141E-2</v>
      </c>
      <c r="W37" s="2"/>
      <c r="X37" s="6">
        <f t="shared" si="18"/>
        <v>-280.8</v>
      </c>
      <c r="Y37" s="2"/>
      <c r="Z37" s="7">
        <f t="shared" si="19"/>
        <v>-1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2"/>
        <v>0</v>
      </c>
      <c r="G38" s="2"/>
      <c r="H38" s="6">
        <v>143.48169999999999</v>
      </c>
      <c r="I38" s="2"/>
      <c r="J38" s="7">
        <f t="shared" si="13"/>
        <v>2.6939861058956061E-2</v>
      </c>
      <c r="K38" s="2"/>
      <c r="L38" s="6">
        <f t="shared" si="14"/>
        <v>-143.48169999999999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247.48169999999999</v>
      </c>
      <c r="U38" s="2"/>
      <c r="V38" s="7">
        <f t="shared" si="17"/>
        <v>4.6466710476905745E-2</v>
      </c>
      <c r="W38" s="2"/>
      <c r="X38" s="6">
        <f t="shared" si="18"/>
        <v>-247.48169999999999</v>
      </c>
      <c r="Y38" s="2"/>
      <c r="Z38" s="7">
        <f t="shared" si="19"/>
        <v>-1</v>
      </c>
    </row>
    <row r="39" spans="1:26" s="29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4507.12</v>
      </c>
      <c r="E39" s="1"/>
      <c r="F39" s="5">
        <f t="shared" ref="F39:F49" si="20">IF(D$12=0,0,D39/D$12)</f>
        <v>0.36353781353999132</v>
      </c>
      <c r="G39" s="1"/>
      <c r="H39" s="1">
        <f>SUM(OSRRefH22_1x_0)</f>
        <v>5961.39</v>
      </c>
      <c r="I39" s="1"/>
      <c r="J39" s="5">
        <f t="shared" ref="J39:J49" si="21">IF(H$12=0,0,H39/H$12)</f>
        <v>1.1192996620352986</v>
      </c>
      <c r="K39" s="1"/>
      <c r="L39" s="1">
        <f t="shared" ref="L39:L49" si="22">+D39-H39</f>
        <v>-1454.2700000000004</v>
      </c>
      <c r="M39" s="1"/>
      <c r="N39" s="5">
        <f t="shared" ref="N39:N49" si="23">IF(H39=0,0,L39/H39)</f>
        <v>-0.24394813961173489</v>
      </c>
      <c r="O39" s="14"/>
      <c r="P39" s="1">
        <f>SUM(OSRRefP22_1x_0)</f>
        <v>4507.12</v>
      </c>
      <c r="Q39" s="1"/>
      <c r="R39" s="5">
        <f t="shared" ref="R39:R49" si="24">IF(P$12=0,0,P39/P$12)</f>
        <v>0.36353781353999132</v>
      </c>
      <c r="S39" s="1"/>
      <c r="T39" s="1">
        <f>SUM(OSRRefT22_1x_0)</f>
        <v>10901.39</v>
      </c>
      <c r="U39" s="1"/>
      <c r="V39" s="5">
        <f t="shared" ref="V39:V49" si="25">IF(T$12=0,0,T39/T$12)</f>
        <v>2.0468250093879083</v>
      </c>
      <c r="W39" s="1"/>
      <c r="X39" s="1">
        <f t="shared" ref="X39:X49" si="26">+P39-T39</f>
        <v>-6394.2699999999995</v>
      </c>
      <c r="Y39" s="1"/>
      <c r="Z39" s="5">
        <f t="shared" ref="Z39:Z49" si="27">IF(T39=0,0,X39/T39)</f>
        <v>-0.58655547595306656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0"/>
        <v>0</v>
      </c>
      <c r="G40" s="2"/>
      <c r="H40" s="6">
        <v>3952</v>
      </c>
      <c r="I40" s="2"/>
      <c r="J40" s="7">
        <f t="shared" si="21"/>
        <v>0.74202027788208791</v>
      </c>
      <c r="K40" s="2"/>
      <c r="L40" s="6">
        <f t="shared" si="22"/>
        <v>-3952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8892</v>
      </c>
      <c r="U40" s="2"/>
      <c r="V40" s="7">
        <f t="shared" si="25"/>
        <v>1.6695456252346976</v>
      </c>
      <c r="W40" s="2"/>
      <c r="X40" s="6">
        <f t="shared" si="26"/>
        <v>-8892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0"/>
        <v>0</v>
      </c>
      <c r="G43" s="2"/>
      <c r="H43" s="6">
        <v>780.3</v>
      </c>
      <c r="I43" s="2"/>
      <c r="J43" s="7">
        <f t="shared" si="21"/>
        <v>0.14650769808486669</v>
      </c>
      <c r="K43" s="2"/>
      <c r="L43" s="6">
        <f t="shared" si="22"/>
        <v>-780.3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780.3</v>
      </c>
      <c r="U43" s="2"/>
      <c r="V43" s="7">
        <f t="shared" si="25"/>
        <v>0.14650769808486669</v>
      </c>
      <c r="W43" s="2"/>
      <c r="X43" s="6">
        <f t="shared" si="26"/>
        <v>-780.3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2408.23</v>
      </c>
      <c r="E44" s="2"/>
      <c r="F44" s="7">
        <f t="shared" si="20"/>
        <v>0.19424436640280562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2408.23</v>
      </c>
      <c r="M44" s="2"/>
      <c r="N44" s="7">
        <f t="shared" si="23"/>
        <v>0</v>
      </c>
      <c r="O44" s="11"/>
      <c r="P44" s="6">
        <v>2408.23</v>
      </c>
      <c r="Q44" s="2"/>
      <c r="R44" s="7">
        <f t="shared" si="24"/>
        <v>0.19424436640280562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2408.23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2098.89</v>
      </c>
      <c r="E46" s="2"/>
      <c r="F46" s="7">
        <f t="shared" si="20"/>
        <v>0.16929344713718567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2098.89</v>
      </c>
      <c r="M46" s="2"/>
      <c r="N46" s="7">
        <f t="shared" si="23"/>
        <v>0</v>
      </c>
      <c r="O46" s="11"/>
      <c r="P46" s="6">
        <v>2098.89</v>
      </c>
      <c r="Q46" s="2"/>
      <c r="R46" s="7">
        <f t="shared" si="24"/>
        <v>0.16929344713718567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2098.89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0"/>
        <v>0</v>
      </c>
      <c r="G47" s="2"/>
      <c r="H47" s="6">
        <v>1229.0899999999999</v>
      </c>
      <c r="I47" s="2"/>
      <c r="J47" s="7">
        <f t="shared" si="21"/>
        <v>0.23077168606834395</v>
      </c>
      <c r="K47" s="2"/>
      <c r="L47" s="6">
        <f t="shared" si="22"/>
        <v>-1229.0899999999999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1229.0899999999999</v>
      </c>
      <c r="U47" s="2"/>
      <c r="V47" s="7">
        <f t="shared" si="25"/>
        <v>0.23077168606834395</v>
      </c>
      <c r="W47" s="2"/>
      <c r="X47" s="6">
        <f t="shared" si="26"/>
        <v>-1229.0899999999999</v>
      </c>
      <c r="Y47" s="2"/>
      <c r="Z47" s="7">
        <f t="shared" si="27"/>
        <v>-1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9" customFormat="1" outlineLevel="1" collapsed="1" x14ac:dyDescent="0.25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6" si="28">IF(D$12=0,0,D50/D$12)</f>
        <v>0</v>
      </c>
      <c r="G50" s="1"/>
      <c r="H50" s="1">
        <f>SUM(OSRRefH22_2x_0)</f>
        <v>100</v>
      </c>
      <c r="I50" s="1"/>
      <c r="J50" s="5">
        <f t="shared" ref="J50:J66" si="29">IF(H$12=0,0,H50/H$12)</f>
        <v>1.8775816748028539E-2</v>
      </c>
      <c r="K50" s="1"/>
      <c r="L50" s="1">
        <f t="shared" ref="L50:L66" si="30">+D50-H50</f>
        <v>-100</v>
      </c>
      <c r="M50" s="1"/>
      <c r="N50" s="5">
        <f t="shared" ref="N50:N66" si="31">IF(H50=0,0,L50/H50)</f>
        <v>-1</v>
      </c>
      <c r="O50" s="14"/>
      <c r="P50" s="1">
        <f>SUM(OSRRefP22_2x_0)</f>
        <v>0</v>
      </c>
      <c r="Q50" s="1"/>
      <c r="R50" s="5">
        <f t="shared" ref="R50:R66" si="32">IF(P$12=0,0,P50/P$12)</f>
        <v>0</v>
      </c>
      <c r="S50" s="1"/>
      <c r="T50" s="1">
        <f>SUM(OSRRefT22_2x_0)</f>
        <v>100</v>
      </c>
      <c r="U50" s="1"/>
      <c r="V50" s="5">
        <f t="shared" ref="V50:V66" si="33">IF(T$12=0,0,T50/T$12)</f>
        <v>1.8775816748028539E-2</v>
      </c>
      <c r="W50" s="1"/>
      <c r="X50" s="1">
        <f t="shared" ref="X50:X66" si="34">+P50-T50</f>
        <v>-100</v>
      </c>
      <c r="Y50" s="1"/>
      <c r="Z50" s="5">
        <f t="shared" ref="Z50:Z66" si="35">IF(T50=0,0,X50/T50)</f>
        <v>-1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8"/>
        <v>0</v>
      </c>
      <c r="G51" s="2"/>
      <c r="H51" s="6">
        <v>100</v>
      </c>
      <c r="I51" s="2"/>
      <c r="J51" s="7">
        <f t="shared" si="29"/>
        <v>1.8775816748028539E-2</v>
      </c>
      <c r="K51" s="2"/>
      <c r="L51" s="6">
        <f t="shared" si="30"/>
        <v>-100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100</v>
      </c>
      <c r="U51" s="2"/>
      <c r="V51" s="7">
        <f t="shared" si="33"/>
        <v>1.8775816748028539E-2</v>
      </c>
      <c r="W51" s="2"/>
      <c r="X51" s="6">
        <f t="shared" si="34"/>
        <v>-100</v>
      </c>
      <c r="Y51" s="2"/>
      <c r="Z51" s="7">
        <f t="shared" si="35"/>
        <v>-1</v>
      </c>
    </row>
    <row r="52" spans="1:26" s="29" customFormat="1" outlineLevel="1" collapsed="1" x14ac:dyDescent="0.25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0.3</v>
      </c>
      <c r="E52" s="1"/>
      <c r="F52" s="5">
        <f t="shared" si="28"/>
        <v>2.4197568305702396E-5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0.3</v>
      </c>
      <c r="M52" s="1"/>
      <c r="N52" s="5">
        <f t="shared" si="31"/>
        <v>0</v>
      </c>
      <c r="O52" s="14"/>
      <c r="P52" s="1">
        <f>SUM(OSRRefP22_3x_0)</f>
        <v>0.3</v>
      </c>
      <c r="Q52" s="1"/>
      <c r="R52" s="5">
        <f t="shared" si="32"/>
        <v>2.4197568305702396E-5</v>
      </c>
      <c r="S52" s="1"/>
      <c r="T52" s="1">
        <f>SUM(OSRRefT22_3x_0)</f>
        <v>0</v>
      </c>
      <c r="U52" s="1"/>
      <c r="V52" s="5">
        <f t="shared" si="33"/>
        <v>0</v>
      </c>
      <c r="W52" s="1"/>
      <c r="X52" s="1">
        <f t="shared" si="34"/>
        <v>0.3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0.3</v>
      </c>
      <c r="E53" s="2"/>
      <c r="F53" s="7">
        <f t="shared" si="28"/>
        <v>2.4197568305702396E-5</v>
      </c>
      <c r="G53" s="2"/>
      <c r="H53" s="6"/>
      <c r="I53" s="2"/>
      <c r="J53" s="7">
        <f t="shared" si="29"/>
        <v>0</v>
      </c>
      <c r="K53" s="2"/>
      <c r="L53" s="6">
        <f t="shared" si="30"/>
        <v>0.3</v>
      </c>
      <c r="M53" s="2"/>
      <c r="N53" s="7">
        <f t="shared" si="31"/>
        <v>0</v>
      </c>
      <c r="O53" s="11"/>
      <c r="P53" s="6">
        <v>0.3</v>
      </c>
      <c r="Q53" s="2"/>
      <c r="R53" s="7">
        <f t="shared" si="32"/>
        <v>2.4197568305702396E-5</v>
      </c>
      <c r="S53" s="2"/>
      <c r="T53" s="6"/>
      <c r="U53" s="2"/>
      <c r="V53" s="7">
        <f t="shared" si="33"/>
        <v>0</v>
      </c>
      <c r="W53" s="2"/>
      <c r="X53" s="6">
        <f t="shared" si="34"/>
        <v>0.3</v>
      </c>
      <c r="Y53" s="2"/>
      <c r="Z53" s="7">
        <f t="shared" si="35"/>
        <v>0</v>
      </c>
    </row>
    <row r="54" spans="1:26" s="29" customFormat="1" outlineLevel="1" collapsed="1" x14ac:dyDescent="0.25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0</v>
      </c>
      <c r="E54" s="1"/>
      <c r="F54" s="5">
        <f t="shared" si="28"/>
        <v>0</v>
      </c>
      <c r="G54" s="1"/>
      <c r="H54" s="1">
        <f>SUM(OSRRefH22_4x_0)</f>
        <v>160</v>
      </c>
      <c r="I54" s="1"/>
      <c r="J54" s="5">
        <f t="shared" si="29"/>
        <v>3.0041306796845663E-2</v>
      </c>
      <c r="K54" s="1"/>
      <c r="L54" s="1">
        <f t="shared" si="30"/>
        <v>-160</v>
      </c>
      <c r="M54" s="1"/>
      <c r="N54" s="5">
        <f t="shared" si="31"/>
        <v>-1</v>
      </c>
      <c r="O54" s="14"/>
      <c r="P54" s="1">
        <f>SUM(OSRRefP22_4x_0)</f>
        <v>0</v>
      </c>
      <c r="Q54" s="1"/>
      <c r="R54" s="5">
        <f t="shared" si="32"/>
        <v>0</v>
      </c>
      <c r="S54" s="1"/>
      <c r="T54" s="1">
        <f>SUM(OSRRefT22_4x_0)</f>
        <v>160</v>
      </c>
      <c r="U54" s="1"/>
      <c r="V54" s="5">
        <f t="shared" si="33"/>
        <v>3.0041306796845663E-2</v>
      </c>
      <c r="W54" s="1"/>
      <c r="X54" s="1">
        <f t="shared" si="34"/>
        <v>-160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6"/>
      <c r="E55" s="2"/>
      <c r="F55" s="7">
        <f t="shared" si="28"/>
        <v>0</v>
      </c>
      <c r="G55" s="2"/>
      <c r="H55" s="6">
        <v>160</v>
      </c>
      <c r="I55" s="2"/>
      <c r="J55" s="7">
        <f t="shared" si="29"/>
        <v>3.0041306796845663E-2</v>
      </c>
      <c r="K55" s="2"/>
      <c r="L55" s="6">
        <f t="shared" si="30"/>
        <v>-160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160</v>
      </c>
      <c r="U55" s="2"/>
      <c r="V55" s="7">
        <f t="shared" si="33"/>
        <v>3.0041306796845663E-2</v>
      </c>
      <c r="W55" s="2"/>
      <c r="X55" s="6">
        <f t="shared" si="34"/>
        <v>-160</v>
      </c>
      <c r="Y55" s="2"/>
      <c r="Z55" s="7">
        <f t="shared" si="35"/>
        <v>-1</v>
      </c>
    </row>
    <row r="56" spans="1:26" s="29" customFormat="1" outlineLevel="1" collapsed="1" x14ac:dyDescent="0.25">
      <c r="A56" s="28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SUM(OSRRefD22_5x_0)</f>
        <v>0</v>
      </c>
      <c r="E56" s="1"/>
      <c r="F56" s="5">
        <f t="shared" si="28"/>
        <v>0</v>
      </c>
      <c r="G56" s="1"/>
      <c r="H56" s="1">
        <f>SUM(OSRRefH22_5x_0)</f>
        <v>100</v>
      </c>
      <c r="I56" s="1"/>
      <c r="J56" s="5">
        <f t="shared" si="29"/>
        <v>1.8775816748028539E-2</v>
      </c>
      <c r="K56" s="1"/>
      <c r="L56" s="1">
        <f t="shared" si="30"/>
        <v>-100</v>
      </c>
      <c r="M56" s="1"/>
      <c r="N56" s="5">
        <f t="shared" si="31"/>
        <v>-1</v>
      </c>
      <c r="O56" s="14"/>
      <c r="P56" s="1">
        <f>SUM(OSRRefP22_5x_0)</f>
        <v>0</v>
      </c>
      <c r="Q56" s="1"/>
      <c r="R56" s="5">
        <f t="shared" si="32"/>
        <v>0</v>
      </c>
      <c r="S56" s="1"/>
      <c r="T56" s="1">
        <f>SUM(OSRRefT22_5x_0)</f>
        <v>100</v>
      </c>
      <c r="U56" s="1"/>
      <c r="V56" s="5">
        <f t="shared" si="33"/>
        <v>1.8775816748028539E-2</v>
      </c>
      <c r="W56" s="1"/>
      <c r="X56" s="1">
        <f t="shared" si="34"/>
        <v>-100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"6382", " - ", "DISCOUNTS/MARK DOWNS")</f>
        <v xml:space="preserve">          6382 - DISCOUNTS/MARK DOWNS</v>
      </c>
      <c r="C57" s="11"/>
      <c r="D57" s="6"/>
      <c r="E57" s="2"/>
      <c r="F57" s="7">
        <f t="shared" si="28"/>
        <v>0</v>
      </c>
      <c r="G57" s="2"/>
      <c r="H57" s="6">
        <v>100</v>
      </c>
      <c r="I57" s="2"/>
      <c r="J57" s="7">
        <f t="shared" si="29"/>
        <v>1.8775816748028539E-2</v>
      </c>
      <c r="K57" s="2"/>
      <c r="L57" s="6">
        <f t="shared" si="30"/>
        <v>-100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100</v>
      </c>
      <c r="U57" s="2"/>
      <c r="V57" s="7">
        <f t="shared" si="33"/>
        <v>1.8775816748028539E-2</v>
      </c>
      <c r="W57" s="2"/>
      <c r="X57" s="6">
        <f t="shared" si="34"/>
        <v>-100</v>
      </c>
      <c r="Y57" s="2"/>
      <c r="Z57" s="7">
        <f t="shared" si="35"/>
        <v>-1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0</v>
      </c>
      <c r="E58" s="1"/>
      <c r="F58" s="5">
        <f t="shared" si="28"/>
        <v>0</v>
      </c>
      <c r="G58" s="1"/>
      <c r="H58" s="1">
        <f>SUM(OSRRefH22_6x_0)</f>
        <v>255</v>
      </c>
      <c r="I58" s="1"/>
      <c r="J58" s="5">
        <f t="shared" si="29"/>
        <v>4.7878332707472777E-2</v>
      </c>
      <c r="K58" s="1"/>
      <c r="L58" s="1">
        <f t="shared" si="30"/>
        <v>-255</v>
      </c>
      <c r="M58" s="1"/>
      <c r="N58" s="5">
        <f t="shared" si="31"/>
        <v>-1</v>
      </c>
      <c r="O58" s="14"/>
      <c r="P58" s="1">
        <f>SUM(OSRRefP22_6x_0)</f>
        <v>0</v>
      </c>
      <c r="Q58" s="1"/>
      <c r="R58" s="5">
        <f t="shared" si="32"/>
        <v>0</v>
      </c>
      <c r="S58" s="1"/>
      <c r="T58" s="1">
        <f>SUM(OSRRefT22_6x_0)</f>
        <v>255</v>
      </c>
      <c r="U58" s="1"/>
      <c r="V58" s="5">
        <f t="shared" si="33"/>
        <v>4.7878332707472777E-2</v>
      </c>
      <c r="W58" s="1"/>
      <c r="X58" s="1">
        <f t="shared" si="34"/>
        <v>-255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"6305", " - ", "FREIGHT OUT")</f>
        <v xml:space="preserve">          6305 - FREIGHT OUT</v>
      </c>
      <c r="C59" s="11"/>
      <c r="D59" s="6"/>
      <c r="E59" s="2"/>
      <c r="F59" s="7">
        <f t="shared" si="28"/>
        <v>0</v>
      </c>
      <c r="G59" s="2"/>
      <c r="H59" s="6">
        <v>255</v>
      </c>
      <c r="I59" s="2"/>
      <c r="J59" s="7">
        <f t="shared" si="29"/>
        <v>4.7878332707472777E-2</v>
      </c>
      <c r="K59" s="2"/>
      <c r="L59" s="6">
        <f t="shared" si="30"/>
        <v>-255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255</v>
      </c>
      <c r="U59" s="2"/>
      <c r="V59" s="7">
        <f t="shared" si="33"/>
        <v>4.7878332707472777E-2</v>
      </c>
      <c r="W59" s="2"/>
      <c r="X59" s="6">
        <f t="shared" si="34"/>
        <v>-255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SUM(OSRRefD22_7x_0)</f>
        <v>0</v>
      </c>
      <c r="E60" s="1"/>
      <c r="F60" s="5">
        <f t="shared" si="28"/>
        <v>0</v>
      </c>
      <c r="G60" s="1"/>
      <c r="H60" s="1">
        <f>SUM(OSRRefH22_7x_0)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SUM(OSRRefP22_7x_0)</f>
        <v>719.55</v>
      </c>
      <c r="Q60" s="1"/>
      <c r="R60" s="5">
        <f t="shared" si="32"/>
        <v>5.8037867581227198E-2</v>
      </c>
      <c r="S60" s="1"/>
      <c r="T60" s="1">
        <f>SUM(OSRRefT22_7x_0)</f>
        <v>1000</v>
      </c>
      <c r="U60" s="1"/>
      <c r="V60" s="5">
        <f t="shared" si="33"/>
        <v>0.1877581674802854</v>
      </c>
      <c r="W60" s="1"/>
      <c r="X60" s="1">
        <f t="shared" si="34"/>
        <v>-280.45000000000005</v>
      </c>
      <c r="Y60" s="1"/>
      <c r="Z60" s="5">
        <f t="shared" si="35"/>
        <v>-0.28045000000000003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719.55</v>
      </c>
      <c r="Q61" s="2"/>
      <c r="R61" s="7">
        <f t="shared" si="32"/>
        <v>5.8037867581227198E-2</v>
      </c>
      <c r="S61" s="2"/>
      <c r="T61" s="6">
        <v>1000</v>
      </c>
      <c r="U61" s="2"/>
      <c r="V61" s="7">
        <f t="shared" si="33"/>
        <v>0.1877581674802854</v>
      </c>
      <c r="W61" s="2"/>
      <c r="X61" s="6">
        <f t="shared" si="34"/>
        <v>-280.45000000000005</v>
      </c>
      <c r="Y61" s="2"/>
      <c r="Z61" s="7">
        <f t="shared" si="35"/>
        <v>-0.28045000000000003</v>
      </c>
    </row>
    <row r="62" spans="1:26" s="29" customFormat="1" outlineLevel="1" collapsed="1" x14ac:dyDescent="0.25">
      <c r="A62" s="28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SUM(OSRRefD22_8x_0)</f>
        <v>0</v>
      </c>
      <c r="E62" s="1"/>
      <c r="F62" s="5">
        <f t="shared" si="28"/>
        <v>0</v>
      </c>
      <c r="G62" s="1"/>
      <c r="H62" s="1">
        <f>SUM(OSRRefH22_8x_0)</f>
        <v>0</v>
      </c>
      <c r="I62" s="1"/>
      <c r="J62" s="5">
        <f t="shared" si="29"/>
        <v>0</v>
      </c>
      <c r="K62" s="1"/>
      <c r="L62" s="1">
        <f t="shared" si="30"/>
        <v>0</v>
      </c>
      <c r="M62" s="1"/>
      <c r="N62" s="5">
        <f t="shared" si="31"/>
        <v>0</v>
      </c>
      <c r="O62" s="14"/>
      <c r="P62" s="1">
        <f>SUM(OSRRefP22_8x_0)</f>
        <v>0</v>
      </c>
      <c r="Q62" s="1"/>
      <c r="R62" s="5">
        <f t="shared" si="32"/>
        <v>0</v>
      </c>
      <c r="S62" s="1"/>
      <c r="T62" s="1">
        <f>SUM(OSRRefT22_8x_0)</f>
        <v>800</v>
      </c>
      <c r="U62" s="1"/>
      <c r="V62" s="5">
        <f t="shared" si="33"/>
        <v>0.15020653398422831</v>
      </c>
      <c r="W62" s="1"/>
      <c r="X62" s="1">
        <f t="shared" si="34"/>
        <v>-800</v>
      </c>
      <c r="Y62" s="1"/>
      <c r="Z62" s="5">
        <f t="shared" si="35"/>
        <v>-1</v>
      </c>
    </row>
    <row r="63" spans="1:26" s="24" customFormat="1" hidden="1" outlineLevel="2" x14ac:dyDescent="0.25">
      <c r="A63" s="27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/>
      <c r="Q63" s="2"/>
      <c r="R63" s="7">
        <f t="shared" si="32"/>
        <v>0</v>
      </c>
      <c r="S63" s="2"/>
      <c r="T63" s="6">
        <v>800</v>
      </c>
      <c r="U63" s="2"/>
      <c r="V63" s="7">
        <f t="shared" si="33"/>
        <v>0.15020653398422831</v>
      </c>
      <c r="W63" s="2"/>
      <c r="X63" s="6">
        <f t="shared" si="34"/>
        <v>-800</v>
      </c>
      <c r="Y63" s="2"/>
      <c r="Z63" s="7">
        <f t="shared" si="35"/>
        <v>-1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SUM(OSRRefD22_9x_0)</f>
        <v>78.599999999999994</v>
      </c>
      <c r="E64" s="1"/>
      <c r="F64" s="5">
        <f t="shared" si="28"/>
        <v>6.3397628960940276E-3</v>
      </c>
      <c r="G64" s="1"/>
      <c r="H64" s="1">
        <f>SUM(OSRRefH22_9x_0)</f>
        <v>100</v>
      </c>
      <c r="I64" s="1"/>
      <c r="J64" s="5">
        <f t="shared" si="29"/>
        <v>1.8775816748028539E-2</v>
      </c>
      <c r="K64" s="1"/>
      <c r="L64" s="1">
        <f t="shared" si="30"/>
        <v>-21.400000000000006</v>
      </c>
      <c r="M64" s="1"/>
      <c r="N64" s="5">
        <f t="shared" si="31"/>
        <v>-0.21400000000000005</v>
      </c>
      <c r="O64" s="14"/>
      <c r="P64" s="1">
        <f>SUM(OSRRefP22_9x_0)</f>
        <v>78.599999999999994</v>
      </c>
      <c r="Q64" s="1"/>
      <c r="R64" s="5">
        <f t="shared" si="32"/>
        <v>6.3397628960940276E-3</v>
      </c>
      <c r="S64" s="1"/>
      <c r="T64" s="1">
        <f>SUM(OSRRefT22_9x_0)</f>
        <v>200</v>
      </c>
      <c r="U64" s="1"/>
      <c r="V64" s="5">
        <f t="shared" si="33"/>
        <v>3.7551633496057078E-2</v>
      </c>
      <c r="W64" s="1"/>
      <c r="X64" s="1">
        <f t="shared" si="34"/>
        <v>-121.4</v>
      </c>
      <c r="Y64" s="1"/>
      <c r="Z64" s="5">
        <f t="shared" si="35"/>
        <v>-0.60699999999999998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78.599999999999994</v>
      </c>
      <c r="E65" s="2"/>
      <c r="F65" s="7">
        <f t="shared" si="28"/>
        <v>6.3397628960940276E-3</v>
      </c>
      <c r="G65" s="2"/>
      <c r="H65" s="6"/>
      <c r="I65" s="2"/>
      <c r="J65" s="7">
        <f t="shared" si="29"/>
        <v>0</v>
      </c>
      <c r="K65" s="2"/>
      <c r="L65" s="6">
        <f t="shared" si="30"/>
        <v>78.599999999999994</v>
      </c>
      <c r="M65" s="2"/>
      <c r="N65" s="7">
        <f t="shared" si="31"/>
        <v>0</v>
      </c>
      <c r="O65" s="11"/>
      <c r="P65" s="6">
        <v>78.599999999999994</v>
      </c>
      <c r="Q65" s="2"/>
      <c r="R65" s="7">
        <f t="shared" si="32"/>
        <v>6.3397628960940276E-3</v>
      </c>
      <c r="S65" s="2"/>
      <c r="T65" s="6"/>
      <c r="U65" s="2"/>
      <c r="V65" s="7">
        <f t="shared" si="33"/>
        <v>0</v>
      </c>
      <c r="W65" s="2"/>
      <c r="X65" s="6">
        <f t="shared" si="34"/>
        <v>78.599999999999994</v>
      </c>
      <c r="Y65" s="2"/>
      <c r="Z65" s="7">
        <f t="shared" si="35"/>
        <v>0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28"/>
        <v>0</v>
      </c>
      <c r="G66" s="2"/>
      <c r="H66" s="6">
        <v>100</v>
      </c>
      <c r="I66" s="2"/>
      <c r="J66" s="7">
        <f t="shared" si="29"/>
        <v>1.8775816748028539E-2</v>
      </c>
      <c r="K66" s="2"/>
      <c r="L66" s="6">
        <f t="shared" si="30"/>
        <v>-100</v>
      </c>
      <c r="M66" s="2"/>
      <c r="N66" s="7">
        <f t="shared" si="31"/>
        <v>-1</v>
      </c>
      <c r="O66" s="11"/>
      <c r="P66" s="6"/>
      <c r="Q66" s="2"/>
      <c r="R66" s="7">
        <f t="shared" si="32"/>
        <v>0</v>
      </c>
      <c r="S66" s="2"/>
      <c r="T66" s="6">
        <v>200</v>
      </c>
      <c r="U66" s="2"/>
      <c r="V66" s="7">
        <f t="shared" si="33"/>
        <v>3.7551633496057078E-2</v>
      </c>
      <c r="W66" s="2"/>
      <c r="X66" s="6">
        <f t="shared" si="34"/>
        <v>-200</v>
      </c>
      <c r="Y66" s="2"/>
      <c r="Z66" s="7">
        <f t="shared" si="35"/>
        <v>-1</v>
      </c>
    </row>
    <row r="67" spans="1:26" s="29" customFormat="1" outlineLevel="1" collapsed="1" x14ac:dyDescent="0.25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SUM(OSRRefD22_10x_0)</f>
        <v>44</v>
      </c>
      <c r="E67" s="1"/>
      <c r="F67" s="5">
        <f t="shared" ref="F67:F69" si="36">IF(D$12=0,0,D67/D$12)</f>
        <v>3.5489766848363518E-3</v>
      </c>
      <c r="G67" s="1"/>
      <c r="H67" s="1">
        <f>SUM(OSRRefH22_10x_0)</f>
        <v>274</v>
      </c>
      <c r="I67" s="1"/>
      <c r="J67" s="5">
        <f t="shared" ref="J67:J69" si="37">IF(H$12=0,0,H67/H$12)</f>
        <v>5.1445737889598199E-2</v>
      </c>
      <c r="K67" s="1"/>
      <c r="L67" s="1">
        <f t="shared" ref="L67:L69" si="38">+D67-H67</f>
        <v>-230</v>
      </c>
      <c r="M67" s="1"/>
      <c r="N67" s="5">
        <f t="shared" ref="N67:N69" si="39">IF(H67=0,0,L67/H67)</f>
        <v>-0.83941605839416056</v>
      </c>
      <c r="O67" s="14"/>
      <c r="P67" s="1">
        <f>SUM(OSRRefP22_10x_0)</f>
        <v>-69.5</v>
      </c>
      <c r="Q67" s="1"/>
      <c r="R67" s="5">
        <f t="shared" ref="R67:R69" si="40">IF(P$12=0,0,P67/P$12)</f>
        <v>-5.6057699908210554E-3</v>
      </c>
      <c r="S67" s="1"/>
      <c r="T67" s="1">
        <f>SUM(OSRRefT22_10x_0)</f>
        <v>274</v>
      </c>
      <c r="U67" s="1"/>
      <c r="V67" s="5">
        <f t="shared" ref="V67:V69" si="41">IF(T$12=0,0,T67/T$12)</f>
        <v>5.1445737889598199E-2</v>
      </c>
      <c r="W67" s="1"/>
      <c r="X67" s="1">
        <f t="shared" ref="X67:X69" si="42">+P67-T67</f>
        <v>-343.5</v>
      </c>
      <c r="Y67" s="1"/>
      <c r="Z67" s="5">
        <f t="shared" ref="Z67:Z69" si="43">IF(T67=0,0,X67/T67)</f>
        <v>-1.2536496350364963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44</v>
      </c>
      <c r="E68" s="2"/>
      <c r="F68" s="7">
        <f t="shared" si="36"/>
        <v>3.5489766848363518E-3</v>
      </c>
      <c r="G68" s="2"/>
      <c r="H68" s="6"/>
      <c r="I68" s="2"/>
      <c r="J68" s="7">
        <f t="shared" si="37"/>
        <v>0</v>
      </c>
      <c r="K68" s="2"/>
      <c r="L68" s="6">
        <f t="shared" si="38"/>
        <v>44</v>
      </c>
      <c r="M68" s="2"/>
      <c r="N68" s="7">
        <f t="shared" si="39"/>
        <v>0</v>
      </c>
      <c r="O68" s="11"/>
      <c r="P68" s="6">
        <v>88</v>
      </c>
      <c r="Q68" s="2"/>
      <c r="R68" s="7">
        <f t="shared" si="40"/>
        <v>7.0979533696727036E-3</v>
      </c>
      <c r="S68" s="2"/>
      <c r="T68" s="6"/>
      <c r="U68" s="2"/>
      <c r="V68" s="7">
        <f t="shared" si="41"/>
        <v>0</v>
      </c>
      <c r="W68" s="2"/>
      <c r="X68" s="6">
        <f t="shared" si="42"/>
        <v>88</v>
      </c>
      <c r="Y68" s="2"/>
      <c r="Z68" s="7">
        <f t="shared" si="43"/>
        <v>0</v>
      </c>
    </row>
    <row r="69" spans="1:26" s="24" customFormat="1" hidden="1" outlineLevel="2" x14ac:dyDescent="0.25">
      <c r="A69" s="27"/>
      <c r="B69" s="11" t="str">
        <f>CONCATENATE("          ", "6285", " - ", "JANITORIAL SERVICES")</f>
        <v xml:space="preserve">          6285 - JANITORIAL SERVICES</v>
      </c>
      <c r="C69" s="11"/>
      <c r="D69" s="6"/>
      <c r="E69" s="2"/>
      <c r="F69" s="7">
        <f t="shared" si="36"/>
        <v>0</v>
      </c>
      <c r="G69" s="2"/>
      <c r="H69" s="6">
        <v>274</v>
      </c>
      <c r="I69" s="2"/>
      <c r="J69" s="7">
        <f t="shared" si="37"/>
        <v>5.1445737889598199E-2</v>
      </c>
      <c r="K69" s="2"/>
      <c r="L69" s="6">
        <f t="shared" si="38"/>
        <v>-274</v>
      </c>
      <c r="M69" s="2"/>
      <c r="N69" s="7">
        <f t="shared" si="39"/>
        <v>-1</v>
      </c>
      <c r="O69" s="11"/>
      <c r="P69" s="6">
        <v>-157.5</v>
      </c>
      <c r="Q69" s="2"/>
      <c r="R69" s="7">
        <f t="shared" si="40"/>
        <v>-1.2703723360493758E-2</v>
      </c>
      <c r="S69" s="2"/>
      <c r="T69" s="6">
        <v>274</v>
      </c>
      <c r="U69" s="2"/>
      <c r="V69" s="7">
        <f t="shared" si="41"/>
        <v>5.1445737889598199E-2</v>
      </c>
      <c r="W69" s="2"/>
      <c r="X69" s="6">
        <f t="shared" si="42"/>
        <v>-431.5</v>
      </c>
      <c r="Y69" s="2"/>
      <c r="Z69" s="7">
        <f t="shared" si="43"/>
        <v>-1.5748175182481752</v>
      </c>
    </row>
    <row r="70" spans="1:26" s="29" customFormat="1" outlineLevel="1" collapsed="1" x14ac:dyDescent="0.25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SUM(OSRRefD22_11x_0)</f>
        <v>485.36</v>
      </c>
      <c r="E70" s="1"/>
      <c r="F70" s="5">
        <f t="shared" ref="F70:F74" si="44">IF(D$12=0,0,D70/D$12)</f>
        <v>3.9148439176185719E-2</v>
      </c>
      <c r="G70" s="1"/>
      <c r="H70" s="1">
        <f>SUM(OSRRefH22_11x_0)</f>
        <v>400</v>
      </c>
      <c r="I70" s="1"/>
      <c r="J70" s="5">
        <f t="shared" ref="J70:J74" si="45">IF(H$12=0,0,H70/H$12)</f>
        <v>7.5103266992114157E-2</v>
      </c>
      <c r="K70" s="1"/>
      <c r="L70" s="1">
        <f t="shared" ref="L70:L74" si="46">+D70-H70</f>
        <v>85.360000000000014</v>
      </c>
      <c r="M70" s="1"/>
      <c r="N70" s="5">
        <f t="shared" ref="N70:N74" si="47">IF(H70=0,0,L70/H70)</f>
        <v>0.21340000000000003</v>
      </c>
      <c r="O70" s="14"/>
      <c r="P70" s="1">
        <f>SUM(OSRRefP22_11x_0)</f>
        <v>929.66</v>
      </c>
      <c r="Q70" s="1"/>
      <c r="R70" s="5">
        <f t="shared" ref="R70:R74" si="48">IF(P$12=0,0,P70/P$12)</f>
        <v>7.4985037836930973E-2</v>
      </c>
      <c r="S70" s="1"/>
      <c r="T70" s="1">
        <f>SUM(OSRRefT22_11x_0)</f>
        <v>400</v>
      </c>
      <c r="U70" s="1"/>
      <c r="V70" s="5">
        <f t="shared" ref="V70:V74" si="49">IF(T$12=0,0,T70/T$12)</f>
        <v>7.5103266992114157E-2</v>
      </c>
      <c r="W70" s="1"/>
      <c r="X70" s="1">
        <f t="shared" ref="X70:X74" si="50">+P70-T70</f>
        <v>529.66</v>
      </c>
      <c r="Y70" s="1"/>
      <c r="Z70" s="5">
        <f t="shared" ref="Z70:Z74" si="51">IF(T70=0,0,X70/T70)</f>
        <v>1.3241499999999999</v>
      </c>
    </row>
    <row r="71" spans="1:26" s="24" customFormat="1" hidden="1" outlineLevel="2" x14ac:dyDescent="0.25">
      <c r="A71" s="27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44"/>
        <v>0</v>
      </c>
      <c r="G71" s="2"/>
      <c r="H71" s="6">
        <v>200</v>
      </c>
      <c r="I71" s="2"/>
      <c r="J71" s="7">
        <f t="shared" si="45"/>
        <v>3.7551633496057078E-2</v>
      </c>
      <c r="K71" s="2"/>
      <c r="L71" s="6">
        <f t="shared" si="46"/>
        <v>-200</v>
      </c>
      <c r="M71" s="2"/>
      <c r="N71" s="7">
        <f t="shared" si="47"/>
        <v>-1</v>
      </c>
      <c r="O71" s="11"/>
      <c r="P71" s="6">
        <v>444.3</v>
      </c>
      <c r="Q71" s="2"/>
      <c r="R71" s="7">
        <f t="shared" si="48"/>
        <v>3.5836598660745254E-2</v>
      </c>
      <c r="S71" s="2"/>
      <c r="T71" s="6">
        <v>200</v>
      </c>
      <c r="U71" s="2"/>
      <c r="V71" s="7">
        <f t="shared" si="49"/>
        <v>3.7551633496057078E-2</v>
      </c>
      <c r="W71" s="2"/>
      <c r="X71" s="6">
        <f t="shared" si="50"/>
        <v>244.3</v>
      </c>
      <c r="Y71" s="2"/>
      <c r="Z71" s="7">
        <f t="shared" si="51"/>
        <v>1.2215</v>
      </c>
    </row>
    <row r="72" spans="1:26" s="24" customFormat="1" hidden="1" outlineLevel="2" x14ac:dyDescent="0.25">
      <c r="A72" s="27"/>
      <c r="B72" s="11" t="str">
        <f>CONCATENATE("          ", "6241", " - ", "OFFICE EXPENSE")</f>
        <v xml:space="preserve">          6241 - OFFICE EXPENSE</v>
      </c>
      <c r="C72" s="11"/>
      <c r="D72" s="6">
        <v>225.24</v>
      </c>
      <c r="E72" s="2"/>
      <c r="F72" s="7">
        <f t="shared" si="44"/>
        <v>1.8167534283921361E-2</v>
      </c>
      <c r="G72" s="2"/>
      <c r="H72" s="6"/>
      <c r="I72" s="2"/>
      <c r="J72" s="7">
        <f t="shared" si="45"/>
        <v>0</v>
      </c>
      <c r="K72" s="2"/>
      <c r="L72" s="6">
        <f t="shared" si="46"/>
        <v>225.24</v>
      </c>
      <c r="M72" s="2"/>
      <c r="N72" s="7">
        <f t="shared" si="47"/>
        <v>0</v>
      </c>
      <c r="O72" s="11"/>
      <c r="P72" s="6">
        <v>225.24</v>
      </c>
      <c r="Q72" s="2"/>
      <c r="R72" s="7">
        <f t="shared" si="48"/>
        <v>1.8167534283921361E-2</v>
      </c>
      <c r="S72" s="2"/>
      <c r="T72" s="6"/>
      <c r="U72" s="2"/>
      <c r="V72" s="7">
        <f t="shared" si="49"/>
        <v>0</v>
      </c>
      <c r="W72" s="2"/>
      <c r="X72" s="6">
        <f t="shared" si="50"/>
        <v>225.24</v>
      </c>
      <c r="Y72" s="2"/>
      <c r="Z72" s="7">
        <f t="shared" si="51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>
        <v>260.12</v>
      </c>
      <c r="E73" s="2"/>
      <c r="F73" s="7">
        <f t="shared" si="44"/>
        <v>2.0980904892264361E-2</v>
      </c>
      <c r="G73" s="2"/>
      <c r="H73" s="6">
        <v>100</v>
      </c>
      <c r="I73" s="2"/>
      <c r="J73" s="7">
        <f t="shared" si="45"/>
        <v>1.8775816748028539E-2</v>
      </c>
      <c r="K73" s="2"/>
      <c r="L73" s="6">
        <f t="shared" si="46"/>
        <v>160.12</v>
      </c>
      <c r="M73" s="2"/>
      <c r="N73" s="7">
        <f t="shared" si="47"/>
        <v>1.6012</v>
      </c>
      <c r="O73" s="11"/>
      <c r="P73" s="6">
        <v>260.12</v>
      </c>
      <c r="Q73" s="2"/>
      <c r="R73" s="7">
        <f t="shared" si="48"/>
        <v>2.0980904892264361E-2</v>
      </c>
      <c r="S73" s="2"/>
      <c r="T73" s="6">
        <v>100</v>
      </c>
      <c r="U73" s="2"/>
      <c r="V73" s="7">
        <f t="shared" si="49"/>
        <v>1.8775816748028539E-2</v>
      </c>
      <c r="W73" s="2"/>
      <c r="X73" s="6">
        <f t="shared" si="50"/>
        <v>160.12</v>
      </c>
      <c r="Y73" s="2"/>
      <c r="Z73" s="7">
        <f t="shared" si="51"/>
        <v>1.6012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4"/>
        <v>0</v>
      </c>
      <c r="G74" s="2"/>
      <c r="H74" s="6">
        <v>100</v>
      </c>
      <c r="I74" s="2"/>
      <c r="J74" s="7">
        <f t="shared" si="45"/>
        <v>1.8775816748028539E-2</v>
      </c>
      <c r="K74" s="2"/>
      <c r="L74" s="6">
        <f t="shared" si="46"/>
        <v>-100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100</v>
      </c>
      <c r="U74" s="2"/>
      <c r="V74" s="7">
        <f t="shared" si="49"/>
        <v>1.8775816748028539E-2</v>
      </c>
      <c r="W74" s="2"/>
      <c r="X74" s="6">
        <f t="shared" si="50"/>
        <v>-100</v>
      </c>
      <c r="Y74" s="2"/>
      <c r="Z74" s="7">
        <f t="shared" si="51"/>
        <v>-1</v>
      </c>
    </row>
    <row r="75" spans="1:26" s="29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53</v>
      </c>
      <c r="E75" s="1"/>
      <c r="F75" s="5">
        <f t="shared" ref="F75:F77" si="52">IF(D$12=0,0,D75/D$12)</f>
        <v>4.2749037340074235E-3</v>
      </c>
      <c r="G75" s="1"/>
      <c r="H75" s="1">
        <f>SUM(OSRRefH22_12x_0)</f>
        <v>100</v>
      </c>
      <c r="I75" s="1"/>
      <c r="J75" s="5">
        <f t="shared" ref="J75:J77" si="53">IF(H$12=0,0,H75/H$12)</f>
        <v>1.8775816748028539E-2</v>
      </c>
      <c r="K75" s="1"/>
      <c r="L75" s="1">
        <f t="shared" ref="L75:L77" si="54">+D75-H75</f>
        <v>-47</v>
      </c>
      <c r="M75" s="1"/>
      <c r="N75" s="5">
        <f t="shared" ref="N75:N77" si="55">IF(H75=0,0,L75/H75)</f>
        <v>-0.47</v>
      </c>
      <c r="O75" s="14"/>
      <c r="P75" s="1">
        <f>SUM(OSRRefP22_12x_0)</f>
        <v>106</v>
      </c>
      <c r="Q75" s="1"/>
      <c r="R75" s="5">
        <f t="shared" ref="R75:R77" si="56">IF(P$12=0,0,P75/P$12)</f>
        <v>8.5498074680148469E-3</v>
      </c>
      <c r="S75" s="1"/>
      <c r="T75" s="1">
        <f>SUM(OSRRefT22_12x_0)</f>
        <v>200</v>
      </c>
      <c r="U75" s="1"/>
      <c r="V75" s="5">
        <f t="shared" ref="V75:V77" si="57">IF(T$12=0,0,T75/T$12)</f>
        <v>3.7551633496057078E-2</v>
      </c>
      <c r="W75" s="1"/>
      <c r="X75" s="1">
        <f t="shared" ref="X75:X77" si="58">+P75-T75</f>
        <v>-94</v>
      </c>
      <c r="Y75" s="1"/>
      <c r="Z75" s="5">
        <f t="shared" ref="Z75:Z77" si="59">IF(T75=0,0,X75/T75)</f>
        <v>-0.47</v>
      </c>
    </row>
    <row r="76" spans="1:26" s="24" customFormat="1" hidden="1" outlineLevel="2" x14ac:dyDescent="0.25">
      <c r="A76" s="27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52"/>
        <v>0</v>
      </c>
      <c r="G76" s="2"/>
      <c r="H76" s="6">
        <v>100</v>
      </c>
      <c r="I76" s="2"/>
      <c r="J76" s="7">
        <f t="shared" si="53"/>
        <v>1.8775816748028539E-2</v>
      </c>
      <c r="K76" s="2"/>
      <c r="L76" s="6">
        <f t="shared" si="54"/>
        <v>-100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200</v>
      </c>
      <c r="U76" s="2"/>
      <c r="V76" s="7">
        <f t="shared" si="57"/>
        <v>3.7551633496057078E-2</v>
      </c>
      <c r="W76" s="2"/>
      <c r="X76" s="6">
        <f t="shared" si="58"/>
        <v>-200</v>
      </c>
      <c r="Y76" s="2"/>
      <c r="Z76" s="7">
        <f t="shared" si="59"/>
        <v>-1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53</v>
      </c>
      <c r="E77" s="2"/>
      <c r="F77" s="7">
        <f t="shared" si="52"/>
        <v>4.2749037340074235E-3</v>
      </c>
      <c r="G77" s="2"/>
      <c r="H77" s="6"/>
      <c r="I77" s="2"/>
      <c r="J77" s="7">
        <f t="shared" si="53"/>
        <v>0</v>
      </c>
      <c r="K77" s="2"/>
      <c r="L77" s="6">
        <f t="shared" si="54"/>
        <v>53</v>
      </c>
      <c r="M77" s="2"/>
      <c r="N77" s="7">
        <f t="shared" si="55"/>
        <v>0</v>
      </c>
      <c r="O77" s="11"/>
      <c r="P77" s="6">
        <v>106</v>
      </c>
      <c r="Q77" s="2"/>
      <c r="R77" s="7">
        <f t="shared" si="56"/>
        <v>8.5498074680148469E-3</v>
      </c>
      <c r="S77" s="2"/>
      <c r="T77" s="6"/>
      <c r="U77" s="2"/>
      <c r="V77" s="7">
        <f t="shared" si="57"/>
        <v>0</v>
      </c>
      <c r="W77" s="2"/>
      <c r="X77" s="6">
        <f t="shared" si="58"/>
        <v>106</v>
      </c>
      <c r="Y77" s="2"/>
      <c r="Z77" s="7">
        <f t="shared" si="59"/>
        <v>0</v>
      </c>
    </row>
    <row r="78" spans="1:26" s="29" customFormat="1" outlineLevel="1" collapsed="1" x14ac:dyDescent="0.25">
      <c r="A78" s="28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60">IF(D$12=0,0,D78/D$12)</f>
        <v>0</v>
      </c>
      <c r="G78" s="1"/>
      <c r="H78" s="1">
        <f>SUM(OSRRefH22_13x_0)</f>
        <v>60</v>
      </c>
      <c r="I78" s="1"/>
      <c r="J78" s="5">
        <f t="shared" ref="J78:J79" si="61">IF(H$12=0,0,H78/H$12)</f>
        <v>1.1265490048817123E-2</v>
      </c>
      <c r="K78" s="1"/>
      <c r="L78" s="1">
        <f t="shared" ref="L78:L79" si="62">+D78-H78</f>
        <v>-60</v>
      </c>
      <c r="M78" s="1"/>
      <c r="N78" s="5">
        <f t="shared" ref="N78:N79" si="63">IF(H78=0,0,L78/H78)</f>
        <v>-1</v>
      </c>
      <c r="O78" s="14"/>
      <c r="P78" s="1">
        <f>SUM(OSRRefP22_13x_0)</f>
        <v>0</v>
      </c>
      <c r="Q78" s="1"/>
      <c r="R78" s="5">
        <f t="shared" ref="R78:R79" si="64">IF(P$12=0,0,P78/P$12)</f>
        <v>0</v>
      </c>
      <c r="S78" s="1"/>
      <c r="T78" s="1">
        <f>SUM(OSRRefT22_13x_0)</f>
        <v>60</v>
      </c>
      <c r="U78" s="1"/>
      <c r="V78" s="5">
        <f t="shared" ref="V78:V79" si="65">IF(T$12=0,0,T78/T$12)</f>
        <v>1.1265490048817123E-2</v>
      </c>
      <c r="W78" s="1"/>
      <c r="X78" s="1">
        <f t="shared" ref="X78:X79" si="66">+P78-T78</f>
        <v>-60</v>
      </c>
      <c r="Y78" s="1"/>
      <c r="Z78" s="5">
        <f t="shared" ref="Z78:Z79" si="67">IF(T78=0,0,X78/T78)</f>
        <v>-1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0"/>
        <v>0</v>
      </c>
      <c r="G79" s="2"/>
      <c r="H79" s="6">
        <v>60</v>
      </c>
      <c r="I79" s="2"/>
      <c r="J79" s="7">
        <f t="shared" si="61"/>
        <v>1.1265490048817123E-2</v>
      </c>
      <c r="K79" s="2"/>
      <c r="L79" s="6">
        <f t="shared" si="62"/>
        <v>-60</v>
      </c>
      <c r="M79" s="2"/>
      <c r="N79" s="7">
        <f t="shared" si="63"/>
        <v>-1</v>
      </c>
      <c r="O79" s="11"/>
      <c r="P79" s="6"/>
      <c r="Q79" s="2"/>
      <c r="R79" s="7">
        <f t="shared" si="64"/>
        <v>0</v>
      </c>
      <c r="S79" s="2"/>
      <c r="T79" s="6">
        <v>60</v>
      </c>
      <c r="U79" s="2"/>
      <c r="V79" s="7">
        <f t="shared" si="65"/>
        <v>1.1265490048817123E-2</v>
      </c>
      <c r="W79" s="2"/>
      <c r="X79" s="6">
        <f t="shared" si="66"/>
        <v>-60</v>
      </c>
      <c r="Y79" s="2"/>
      <c r="Z79" s="7">
        <f t="shared" si="67"/>
        <v>-1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2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2" customFormat="1" x14ac:dyDescent="0.25">
      <c r="A83" s="10"/>
      <c r="B83" s="26" t="s">
        <v>3</v>
      </c>
      <c r="C83" s="26"/>
      <c r="D83" s="21">
        <f>+D27-D29+D81</f>
        <v>-2088.7799999999997</v>
      </c>
      <c r="E83" s="13"/>
      <c r="F83" s="20">
        <f>IF(D$12=0,0,D83/D$12)</f>
        <v>-0.1684779890852835</v>
      </c>
      <c r="G83" s="13"/>
      <c r="H83" s="21">
        <f>+H27-H29+H81</f>
        <v>-6848.6869880000013</v>
      </c>
      <c r="I83" s="13"/>
      <c r="J83" s="20">
        <f>IF(H$12=0,0,H83/H$12)</f>
        <v>-1.2858969185129556</v>
      </c>
      <c r="K83" s="16"/>
      <c r="L83" s="21">
        <f>+D83-H83</f>
        <v>4759.9069880000015</v>
      </c>
      <c r="M83" s="16"/>
      <c r="N83" s="20">
        <f>IF(H83=0,0,L83/H83)</f>
        <v>-0.69501015250662246</v>
      </c>
      <c r="O83" s="25"/>
      <c r="P83" s="21">
        <f>+P27-P29+P81</f>
        <v>-3230.1799999999994</v>
      </c>
      <c r="Q83" s="13"/>
      <c r="R83" s="20">
        <f>IF(P$12=0,0,P83/P$12)</f>
        <v>-0.26054167063237921</v>
      </c>
      <c r="S83" s="13"/>
      <c r="T83" s="21">
        <f>+T27-T29+T81</f>
        <v>-15668.562987999998</v>
      </c>
      <c r="U83" s="13"/>
      <c r="V83" s="20">
        <f>IF(T$12=0,0,T83/T$12)</f>
        <v>-2.9419006736763045</v>
      </c>
      <c r="W83" s="16"/>
      <c r="X83" s="21">
        <f>+P83-T83</f>
        <v>12438.382987999998</v>
      </c>
      <c r="Y83" s="16"/>
      <c r="Z83" s="20">
        <f>IF(T83=0,0,X83/T83)</f>
        <v>-0.79384325145363477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x14ac:dyDescent="0.25">
      <c r="A85" s="52"/>
      <c r="B85" s="10" t="s">
        <v>14</v>
      </c>
      <c r="C85" s="10"/>
      <c r="D85" s="4">
        <v>2093.23</v>
      </c>
      <c r="E85" s="4"/>
      <c r="F85" s="12">
        <f>IF(D$12=0,0,D85/D$12)</f>
        <v>0.1688369196818181</v>
      </c>
      <c r="G85" s="4"/>
      <c r="H85" s="4">
        <v>656</v>
      </c>
      <c r="I85" s="4"/>
      <c r="J85" s="12">
        <f>IF(H$12=0,0,H85/H$12)</f>
        <v>0.12316935786706722</v>
      </c>
      <c r="K85" s="4"/>
      <c r="L85" s="4">
        <f>+D85-H85</f>
        <v>1437.23</v>
      </c>
      <c r="M85" s="4"/>
      <c r="N85" s="12">
        <f>IF(H85=0,0,L85/H85)</f>
        <v>2.1908993902439025</v>
      </c>
      <c r="O85" s="10"/>
      <c r="P85" s="4">
        <v>2093.23</v>
      </c>
      <c r="Q85" s="4"/>
      <c r="R85" s="12">
        <f>IF(P$12=0,0,P85/P$12)</f>
        <v>0.1688369196818181</v>
      </c>
      <c r="S85" s="4"/>
      <c r="T85" s="4">
        <v>3243</v>
      </c>
      <c r="U85" s="4"/>
      <c r="V85" s="12">
        <f>IF(T$12=0,0,T85/T$12)</f>
        <v>0.60889973713856549</v>
      </c>
      <c r="W85" s="4"/>
      <c r="X85" s="4">
        <f>+P85-T85</f>
        <v>-1149.77</v>
      </c>
      <c r="Y85" s="4"/>
      <c r="Z85" s="12">
        <f>IF(T85=0,0,X85/T85)</f>
        <v>-0.3545390070921986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2" customFormat="1" ht="15.75" thickBot="1" x14ac:dyDescent="0.3">
      <c r="A87" s="10"/>
      <c r="B87" s="26" t="s">
        <v>4</v>
      </c>
      <c r="C87" s="26"/>
      <c r="D87" s="33">
        <f>+D83-D85</f>
        <v>-4182.01</v>
      </c>
      <c r="E87" s="13"/>
      <c r="F87" s="31">
        <f>IF(D$12=0,0,D87/D$12)</f>
        <v>-0.33731490876710163</v>
      </c>
      <c r="G87" s="13"/>
      <c r="H87" s="33">
        <f>+H83-H85</f>
        <v>-7504.6869880000013</v>
      </c>
      <c r="I87" s="13"/>
      <c r="J87" s="31">
        <f>IF(H$12=0,0,H87/H$12)</f>
        <v>-1.4090662763800228</v>
      </c>
      <c r="K87" s="16"/>
      <c r="L87" s="33">
        <f>D87-H87</f>
        <v>3322.6769880000011</v>
      </c>
      <c r="M87" s="16"/>
      <c r="N87" s="31">
        <f>IF(H87=0,0,L87/H87)</f>
        <v>-0.44274691180497783</v>
      </c>
      <c r="O87" s="25"/>
      <c r="P87" s="33">
        <f>+P83-P85</f>
        <v>-5323.41</v>
      </c>
      <c r="Q87" s="13"/>
      <c r="R87" s="31">
        <f>IF(P$12=0,0,P87/P$12)</f>
        <v>-0.42937859031419734</v>
      </c>
      <c r="S87" s="13"/>
      <c r="T87" s="33">
        <f>+T83-T85</f>
        <v>-18911.562987999998</v>
      </c>
      <c r="U87" s="13"/>
      <c r="V87" s="31">
        <f>IF(T$12=0,0,T87/T$12)</f>
        <v>-3.5508004108148699</v>
      </c>
      <c r="W87" s="16"/>
      <c r="X87" s="33">
        <f>P87-T87</f>
        <v>13588.152987999998</v>
      </c>
      <c r="Y87" s="16"/>
      <c r="Z87" s="31">
        <f>IF(T87=0,0,X87/T87)</f>
        <v>-0.71851031015374689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2" customFormat="1" ht="15.75" thickBot="1" x14ac:dyDescent="0.3">
      <c r="A90" s="10"/>
      <c r="B90" s="26" t="s">
        <v>5</v>
      </c>
      <c r="C90" s="26"/>
      <c r="D90" s="32">
        <f>SUM(D87:D89)</f>
        <v>-4182.01</v>
      </c>
      <c r="E90" s="13"/>
      <c r="F90" s="35">
        <f>IF(D$12=0,0,D90/D$12)</f>
        <v>-0.33731490876710163</v>
      </c>
      <c r="G90" s="13"/>
      <c r="H90" s="32">
        <f>SUM(H87:H89)</f>
        <v>-7504.6869880000013</v>
      </c>
      <c r="I90" s="13"/>
      <c r="J90" s="35">
        <f>IF(H$12=0,0,H90/H$12)</f>
        <v>-1.4090662763800228</v>
      </c>
      <c r="K90" s="16"/>
      <c r="L90" s="32">
        <f>+D90-H90</f>
        <v>3322.6769880000011</v>
      </c>
      <c r="M90" s="16"/>
      <c r="N90" s="35">
        <f>IF(H90=0,0,L90/H90)</f>
        <v>-0.44274691180497783</v>
      </c>
      <c r="O90" s="25"/>
      <c r="P90" s="32">
        <f>SUM(P87:P89)</f>
        <v>-5323.41</v>
      </c>
      <c r="Q90" s="13"/>
      <c r="R90" s="35">
        <f>IF(P$12=0,0,P90/P$12)</f>
        <v>-0.42937859031419734</v>
      </c>
      <c r="S90" s="13"/>
      <c r="T90" s="32">
        <f>SUM(T87:T89)</f>
        <v>-18911.562987999998</v>
      </c>
      <c r="U90" s="13"/>
      <c r="V90" s="35">
        <f>IF(T$12=0,0,T90/T$12)</f>
        <v>-3.5508004108148699</v>
      </c>
      <c r="W90" s="16"/>
      <c r="X90" s="32">
        <f>+P90-T90</f>
        <v>13588.152987999998</v>
      </c>
      <c r="Y90" s="16"/>
      <c r="Z90" s="35">
        <f>IF(T90=0,0,X90/T90)</f>
        <v>-0.71851031015374689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9">
        <v>44113.688957673614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 t="s">
        <v>314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3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","307", " - ", "Art Store")</f>
        <v>Department 307 - Art 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12397.94</v>
      </c>
      <c r="E12" s="4"/>
      <c r="F12" s="12"/>
      <c r="G12" s="4"/>
      <c r="H12" s="4">
        <f>SUM(OSRRefH13x_0)</f>
        <v>5326</v>
      </c>
      <c r="I12" s="4"/>
      <c r="J12" s="12"/>
      <c r="K12" s="4"/>
      <c r="L12" s="4">
        <f t="shared" ref="L12:L20" si="0">+D12-H12</f>
        <v>7071.9400000000005</v>
      </c>
      <c r="M12" s="4"/>
      <c r="N12" s="12">
        <f t="shared" ref="N12:N20" si="1">IF(H12=0,0,L12/H12)</f>
        <v>1.3278144949305295</v>
      </c>
      <c r="O12" s="10"/>
      <c r="P12" s="4">
        <f>SUM(OSRRefP13x_0)</f>
        <v>12397.94</v>
      </c>
      <c r="Q12" s="4"/>
      <c r="R12" s="12"/>
      <c r="S12" s="4"/>
      <c r="T12" s="4">
        <f>SUM(OSRRefT13x_0)</f>
        <v>5326</v>
      </c>
      <c r="U12" s="4"/>
      <c r="V12" s="12"/>
      <c r="W12" s="4"/>
      <c r="X12" s="4">
        <f t="shared" ref="X12:X20" si="2">+P12-T12</f>
        <v>7071.9400000000005</v>
      </c>
      <c r="Y12" s="4"/>
      <c r="Z12" s="12">
        <f t="shared" ref="Z12:Z20" si="3">IF(T12=0,0,X12/T12)</f>
        <v>1.3278144949305295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-1069.53</f>
        <v>-1069.53</v>
      </c>
      <c r="E13" s="2"/>
      <c r="F13" s="23"/>
      <c r="G13" s="2"/>
      <c r="H13" s="2"/>
      <c r="I13" s="2"/>
      <c r="J13" s="23"/>
      <c r="K13" s="2"/>
      <c r="L13" s="2">
        <f t="shared" si="0"/>
        <v>-1069.53</v>
      </c>
      <c r="M13" s="2"/>
      <c r="N13" s="23">
        <f t="shared" si="1"/>
        <v>0</v>
      </c>
      <c r="O13" s="11"/>
      <c r="P13" s="2">
        <f>-1069.53</f>
        <v>-1069.53</v>
      </c>
      <c r="Q13" s="2"/>
      <c r="R13" s="23"/>
      <c r="S13" s="2"/>
      <c r="T13" s="2"/>
      <c r="U13" s="2"/>
      <c r="V13" s="23"/>
      <c r="W13" s="2"/>
      <c r="X13" s="2">
        <f t="shared" si="2"/>
        <v>-1069.53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"4027", " - ", "TAXABLE SALES-SCHOOL SUPPLIES")</f>
        <v xml:space="preserve">          4027 - TAXABLE SALES-SCHOOL SUPPLIES</v>
      </c>
      <c r="C14" s="11"/>
      <c r="D14" s="2">
        <f>--3388.87</f>
        <v>3388.87</v>
      </c>
      <c r="E14" s="2"/>
      <c r="F14" s="23"/>
      <c r="G14" s="2"/>
      <c r="H14" s="2"/>
      <c r="I14" s="2"/>
      <c r="J14" s="23"/>
      <c r="K14" s="2"/>
      <c r="L14" s="2">
        <f t="shared" si="0"/>
        <v>3388.87</v>
      </c>
      <c r="M14" s="2"/>
      <c r="N14" s="23">
        <f t="shared" si="1"/>
        <v>0</v>
      </c>
      <c r="O14" s="11"/>
      <c r="P14" s="2">
        <f>--3388.87</f>
        <v>3388.87</v>
      </c>
      <c r="Q14" s="2"/>
      <c r="R14" s="23"/>
      <c r="S14" s="2"/>
      <c r="T14" s="2"/>
      <c r="U14" s="2"/>
      <c r="V14" s="23"/>
      <c r="W14" s="2"/>
      <c r="X14" s="2">
        <f t="shared" si="2"/>
        <v>3388.87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"4028", " - ", "TAXABLE SALES-ART/TECH")</f>
        <v xml:space="preserve">          4028 - TAXABLE SALES-ART/TECH</v>
      </c>
      <c r="C15" s="11"/>
      <c r="D15" s="2">
        <f>--9671.25</f>
        <v>9671.25</v>
      </c>
      <c r="E15" s="2"/>
      <c r="F15" s="23"/>
      <c r="G15" s="2"/>
      <c r="H15" s="2"/>
      <c r="I15" s="2"/>
      <c r="J15" s="23"/>
      <c r="K15" s="2"/>
      <c r="L15" s="2">
        <f t="shared" si="0"/>
        <v>9671.25</v>
      </c>
      <c r="M15" s="2"/>
      <c r="N15" s="23">
        <f t="shared" si="1"/>
        <v>0</v>
      </c>
      <c r="O15" s="11"/>
      <c r="P15" s="2">
        <f>--9671.25</f>
        <v>9671.25</v>
      </c>
      <c r="Q15" s="2"/>
      <c r="R15" s="23"/>
      <c r="S15" s="2"/>
      <c r="T15" s="2"/>
      <c r="U15" s="2"/>
      <c r="V15" s="23"/>
      <c r="W15" s="2"/>
      <c r="X15" s="2">
        <f t="shared" si="2"/>
        <v>9671.25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"4031", " - ", "TAXABLE SALES-FOOD")</f>
        <v xml:space="preserve">          4031 - TAXABLE SALES-FOOD</v>
      </c>
      <c r="C16" s="11"/>
      <c r="D16" s="2">
        <f>--125.04</f>
        <v>125.04</v>
      </c>
      <c r="E16" s="2"/>
      <c r="F16" s="23"/>
      <c r="G16" s="2"/>
      <c r="H16" s="2"/>
      <c r="I16" s="2"/>
      <c r="J16" s="23"/>
      <c r="K16" s="2"/>
      <c r="L16" s="2">
        <f t="shared" si="0"/>
        <v>125.04</v>
      </c>
      <c r="M16" s="2"/>
      <c r="N16" s="23">
        <f t="shared" si="1"/>
        <v>0</v>
      </c>
      <c r="O16" s="11"/>
      <c r="P16" s="2">
        <f>--125.04</f>
        <v>125.04</v>
      </c>
      <c r="Q16" s="2"/>
      <c r="R16" s="23"/>
      <c r="S16" s="2"/>
      <c r="T16" s="2"/>
      <c r="U16" s="2"/>
      <c r="V16" s="23"/>
      <c r="W16" s="2"/>
      <c r="X16" s="2">
        <f t="shared" si="2"/>
        <v>125.04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3"/>
      <c r="G17" s="2"/>
      <c r="H17" s="2">
        <v>5326</v>
      </c>
      <c r="I17" s="2"/>
      <c r="J17" s="23"/>
      <c r="K17" s="2"/>
      <c r="L17" s="2">
        <f t="shared" si="0"/>
        <v>-5326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5326</v>
      </c>
      <c r="U17" s="2"/>
      <c r="V17" s="23"/>
      <c r="W17" s="2"/>
      <c r="X17" s="2">
        <f t="shared" si="2"/>
        <v>-5326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"4131", " - ", "NON-TAXABLE SALES-FOOD")</f>
        <v xml:space="preserve">          4131 - NON-TAXABLE SALES-FOOD</v>
      </c>
      <c r="C18" s="11"/>
      <c r="D18" s="2">
        <f>--587.14</f>
        <v>587.14</v>
      </c>
      <c r="E18" s="2"/>
      <c r="F18" s="23"/>
      <c r="G18" s="2"/>
      <c r="H18" s="2"/>
      <c r="I18" s="2"/>
      <c r="J18" s="23"/>
      <c r="K18" s="2"/>
      <c r="L18" s="2">
        <f t="shared" si="0"/>
        <v>587.14</v>
      </c>
      <c r="M18" s="2"/>
      <c r="N18" s="23">
        <f t="shared" si="1"/>
        <v>0</v>
      </c>
      <c r="O18" s="11"/>
      <c r="P18" s="2">
        <f>--587.14</f>
        <v>587.14</v>
      </c>
      <c r="Q18" s="2"/>
      <c r="R18" s="23"/>
      <c r="S18" s="2"/>
      <c r="T18" s="2"/>
      <c r="U18" s="2"/>
      <c r="V18" s="23"/>
      <c r="W18" s="2"/>
      <c r="X18" s="2">
        <f t="shared" si="2"/>
        <v>587.14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"4227", " - ", "SALES RETURN TAXABLE-SCHOOL SU")</f>
        <v xml:space="preserve">          4227 - SALES RETURN TAXABLE-SCHOOL SU</v>
      </c>
      <c r="C19" s="11"/>
      <c r="D19" s="2">
        <f>-140.39</f>
        <v>-140.38999999999999</v>
      </c>
      <c r="E19" s="2"/>
      <c r="F19" s="23"/>
      <c r="G19" s="2"/>
      <c r="H19" s="2"/>
      <c r="I19" s="2"/>
      <c r="J19" s="23"/>
      <c r="K19" s="2"/>
      <c r="L19" s="2">
        <f t="shared" si="0"/>
        <v>-140.38999999999999</v>
      </c>
      <c r="M19" s="2"/>
      <c r="N19" s="23">
        <f t="shared" si="1"/>
        <v>0</v>
      </c>
      <c r="O19" s="11"/>
      <c r="P19" s="2">
        <f>-140.39</f>
        <v>-140.38999999999999</v>
      </c>
      <c r="Q19" s="2"/>
      <c r="R19" s="23"/>
      <c r="S19" s="2"/>
      <c r="T19" s="2"/>
      <c r="U19" s="2"/>
      <c r="V19" s="23"/>
      <c r="W19" s="2"/>
      <c r="X19" s="2">
        <f t="shared" si="2"/>
        <v>-140.38999999999999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"4228", " - ", "SALES RETURN TAXABLE-ART/TECH")</f>
        <v xml:space="preserve">          4228 - SALES RETURN TAXABLE-ART/TECH</v>
      </c>
      <c r="C20" s="11"/>
      <c r="D20" s="2">
        <f>-164.44</f>
        <v>-164.44</v>
      </c>
      <c r="E20" s="2"/>
      <c r="F20" s="23"/>
      <c r="G20" s="2"/>
      <c r="H20" s="2"/>
      <c r="I20" s="2"/>
      <c r="J20" s="23"/>
      <c r="K20" s="2"/>
      <c r="L20" s="2">
        <f t="shared" si="0"/>
        <v>-164.44</v>
      </c>
      <c r="M20" s="2"/>
      <c r="N20" s="23">
        <f t="shared" si="1"/>
        <v>0</v>
      </c>
      <c r="O20" s="11"/>
      <c r="P20" s="2">
        <f>-164.44</f>
        <v>-164.44</v>
      </c>
      <c r="Q20" s="2"/>
      <c r="R20" s="23"/>
      <c r="S20" s="2"/>
      <c r="T20" s="2"/>
      <c r="U20" s="2"/>
      <c r="V20" s="23"/>
      <c r="W20" s="2"/>
      <c r="X20" s="2">
        <f t="shared" si="2"/>
        <v>-164.44</v>
      </c>
      <c r="Y20" s="2"/>
      <c r="Z20" s="23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collapsed="1" x14ac:dyDescent="0.25">
      <c r="A22" s="10"/>
      <c r="B22" s="25" t="s">
        <v>8</v>
      </c>
      <c r="C22" s="10"/>
      <c r="D22" s="4">
        <f>SUM(OSRRefD16x_0)</f>
        <v>9005</v>
      </c>
      <c r="E22" s="4"/>
      <c r="F22" s="12">
        <f t="shared" ref="F22:F25" si="4">IF(D$12=0,0,D22/D$12)</f>
        <v>0.72633034197616697</v>
      </c>
      <c r="G22" s="4"/>
      <c r="H22" s="4">
        <f>SUM(OSRRefH16x_0)</f>
        <v>2865</v>
      </c>
      <c r="I22" s="4"/>
      <c r="J22" s="12">
        <f t="shared" ref="J22:J25" si="5">IF(H$12=0,0,H22/H$12)</f>
        <v>0.53792714983101764</v>
      </c>
      <c r="K22" s="4"/>
      <c r="L22" s="4">
        <f t="shared" ref="L22:L25" si="6">+D22-H22</f>
        <v>6140</v>
      </c>
      <c r="M22" s="4"/>
      <c r="N22" s="12">
        <f t="shared" ref="N22:N25" si="7">IF(H22=0,0,L22/H22)</f>
        <v>2.1431064572425829</v>
      </c>
      <c r="O22" s="10"/>
      <c r="P22" s="4">
        <f>SUM(OSRRefP16x_0)</f>
        <v>9043.0499999999993</v>
      </c>
      <c r="Q22" s="4"/>
      <c r="R22" s="12">
        <f t="shared" ref="R22:R25" si="8">IF(P$12=0,0,P22/P$12)</f>
        <v>0.72939940022294014</v>
      </c>
      <c r="S22" s="4"/>
      <c r="T22" s="4">
        <f>SUM(OSRRefT16x_0)</f>
        <v>2865</v>
      </c>
      <c r="U22" s="4"/>
      <c r="V22" s="12">
        <f t="shared" ref="V22:V25" si="9">IF(T$12=0,0,T22/T$12)</f>
        <v>0.53792714983101764</v>
      </c>
      <c r="W22" s="4"/>
      <c r="X22" s="4">
        <f t="shared" ref="X22:X25" si="10">+P22-T22</f>
        <v>6178.0499999999993</v>
      </c>
      <c r="Y22" s="4"/>
      <c r="Z22" s="12">
        <f t="shared" ref="Z22:Z25" si="11">IF(T22=0,0,X22/T22)</f>
        <v>2.1563874345549734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3">
        <f t="shared" si="4"/>
        <v>0</v>
      </c>
      <c r="G23" s="2"/>
      <c r="H23" s="2">
        <v>2865</v>
      </c>
      <c r="I23" s="2"/>
      <c r="J23" s="23">
        <f t="shared" si="5"/>
        <v>0.53792714983101764</v>
      </c>
      <c r="K23" s="2"/>
      <c r="L23" s="2">
        <f t="shared" si="6"/>
        <v>-2865</v>
      </c>
      <c r="M23" s="2"/>
      <c r="N23" s="23">
        <f t="shared" si="7"/>
        <v>-1</v>
      </c>
      <c r="O23" s="11"/>
      <c r="P23" s="2"/>
      <c r="Q23" s="2"/>
      <c r="R23" s="23">
        <f t="shared" si="8"/>
        <v>0</v>
      </c>
      <c r="S23" s="2"/>
      <c r="T23" s="2">
        <v>2865</v>
      </c>
      <c r="U23" s="2"/>
      <c r="V23" s="23">
        <f t="shared" si="9"/>
        <v>0.53792714983101764</v>
      </c>
      <c r="W23" s="2"/>
      <c r="X23" s="2">
        <f t="shared" si="10"/>
        <v>-2865</v>
      </c>
      <c r="Y23" s="2"/>
      <c r="Z23" s="23">
        <f t="shared" si="11"/>
        <v>-1</v>
      </c>
    </row>
    <row r="24" spans="1:26" s="24" customFormat="1" hidden="1" outlineLevel="1" x14ac:dyDescent="0.25">
      <c r="A24" s="51"/>
      <c r="B24" s="11" t="str">
        <f>CONCATENATE("          ", "5300", " - ", "COG$ OFFSET")</f>
        <v xml:space="preserve">          5300 - COG$ OFFSET</v>
      </c>
      <c r="C24" s="11"/>
      <c r="D24" s="2">
        <v>9005</v>
      </c>
      <c r="E24" s="2"/>
      <c r="F24" s="23">
        <f t="shared" si="4"/>
        <v>0.72633034197616697</v>
      </c>
      <c r="G24" s="2"/>
      <c r="H24" s="2"/>
      <c r="I24" s="2"/>
      <c r="J24" s="23">
        <f t="shared" si="5"/>
        <v>0</v>
      </c>
      <c r="K24" s="2"/>
      <c r="L24" s="2">
        <f t="shared" si="6"/>
        <v>9005</v>
      </c>
      <c r="M24" s="2"/>
      <c r="N24" s="23">
        <f t="shared" si="7"/>
        <v>0</v>
      </c>
      <c r="O24" s="11"/>
      <c r="P24" s="2">
        <v>9005</v>
      </c>
      <c r="Q24" s="2"/>
      <c r="R24" s="23">
        <f t="shared" si="8"/>
        <v>0.72633034197616697</v>
      </c>
      <c r="S24" s="2"/>
      <c r="T24" s="2"/>
      <c r="U24" s="2"/>
      <c r="V24" s="23">
        <f t="shared" si="9"/>
        <v>0</v>
      </c>
      <c r="W24" s="2"/>
      <c r="X24" s="2">
        <f t="shared" si="10"/>
        <v>9005</v>
      </c>
      <c r="Y24" s="2"/>
      <c r="Z24" s="23">
        <f t="shared" si="11"/>
        <v>0</v>
      </c>
    </row>
    <row r="25" spans="1:26" s="24" customFormat="1" hidden="1" outlineLevel="1" x14ac:dyDescent="0.25">
      <c r="A25" s="51"/>
      <c r="B25" s="11" t="str">
        <f>CONCATENATE("          ", "5528", " - ", "FREIGHT-IN-ART/TECH")</f>
        <v xml:space="preserve">          5528 - FREIGHT-IN-ART/TECH</v>
      </c>
      <c r="C25" s="11"/>
      <c r="D25" s="2"/>
      <c r="E25" s="2"/>
      <c r="F25" s="23">
        <f t="shared" si="4"/>
        <v>0</v>
      </c>
      <c r="G25" s="2"/>
      <c r="H25" s="2"/>
      <c r="I25" s="2"/>
      <c r="J25" s="23">
        <f t="shared" si="5"/>
        <v>0</v>
      </c>
      <c r="K25" s="2"/>
      <c r="L25" s="2">
        <f t="shared" si="6"/>
        <v>0</v>
      </c>
      <c r="M25" s="2"/>
      <c r="N25" s="23">
        <f t="shared" si="7"/>
        <v>0</v>
      </c>
      <c r="O25" s="11"/>
      <c r="P25" s="2">
        <v>38.049999999999997</v>
      </c>
      <c r="Q25" s="2"/>
      <c r="R25" s="23">
        <f t="shared" si="8"/>
        <v>3.0690582467732541E-3</v>
      </c>
      <c r="S25" s="2"/>
      <c r="T25" s="2"/>
      <c r="U25" s="2"/>
      <c r="V25" s="23">
        <f t="shared" si="9"/>
        <v>0</v>
      </c>
      <c r="W25" s="2"/>
      <c r="X25" s="2">
        <f t="shared" si="10"/>
        <v>38.049999999999997</v>
      </c>
      <c r="Y25" s="2"/>
      <c r="Z25" s="23">
        <f t="shared" si="11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6</v>
      </c>
      <c r="C27" s="26"/>
      <c r="D27" s="21">
        <f>D12-D22</f>
        <v>3392.9400000000005</v>
      </c>
      <c r="E27" s="13"/>
      <c r="F27" s="20">
        <f>IF(D$12=0,0,D27/D$12)</f>
        <v>0.27366965802383303</v>
      </c>
      <c r="G27" s="13"/>
      <c r="H27" s="21">
        <f>H12-H22</f>
        <v>2461</v>
      </c>
      <c r="I27" s="13"/>
      <c r="J27" s="20">
        <f>IF(H$12=0,0,H27/H$12)</f>
        <v>0.46207285016898236</v>
      </c>
      <c r="K27" s="16"/>
      <c r="L27" s="21">
        <f>+D27-H27</f>
        <v>931.94000000000051</v>
      </c>
      <c r="M27" s="16"/>
      <c r="N27" s="20">
        <f>IF(H27=0,0,L27/H27)</f>
        <v>0.37868346200731429</v>
      </c>
      <c r="O27" s="25"/>
      <c r="P27" s="21">
        <f>P12-P22</f>
        <v>3354.8900000000012</v>
      </c>
      <c r="Q27" s="13"/>
      <c r="R27" s="20">
        <f>IF(P$12=0,0,P27/P$12)</f>
        <v>0.2706005997770598</v>
      </c>
      <c r="S27" s="13"/>
      <c r="T27" s="21">
        <f>T12-T22</f>
        <v>2461</v>
      </c>
      <c r="U27" s="13"/>
      <c r="V27" s="20">
        <f>IF(T$12=0,0,T27/T$12)</f>
        <v>0.46207285016898236</v>
      </c>
      <c r="W27" s="16"/>
      <c r="X27" s="21">
        <f>+P27-T27</f>
        <v>893.89000000000124</v>
      </c>
      <c r="Y27" s="16"/>
      <c r="Z27" s="20">
        <f>IF(T27=0,0,X27/T27)</f>
        <v>0.36322226737098789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2" customFormat="1" x14ac:dyDescent="0.25">
      <c r="A29" s="10"/>
      <c r="B29" s="25" t="s">
        <v>9</v>
      </c>
      <c r="C29" s="10"/>
      <c r="D29" s="19">
        <f>SUM(OSRRefD22x_0)</f>
        <v>5481.72</v>
      </c>
      <c r="E29" s="19"/>
      <c r="F29" s="30">
        <f t="shared" ref="F29:F38" si="12">IF(D$12=0,0,D29/D$12)</f>
        <v>0.44214764710911653</v>
      </c>
      <c r="G29" s="19"/>
      <c r="H29" s="19">
        <f>SUM(OSRRefH22x_0)</f>
        <v>9309.6869880000013</v>
      </c>
      <c r="I29" s="19"/>
      <c r="J29" s="30">
        <f t="shared" ref="J29:J38" si="13">IF(H$12=0,0,H29/H$12)</f>
        <v>1.747969768681938</v>
      </c>
      <c r="K29" s="4"/>
      <c r="L29" s="19">
        <f t="shared" ref="L29:L38" si="14">+D29-H29</f>
        <v>-3827.966988000001</v>
      </c>
      <c r="M29" s="4"/>
      <c r="N29" s="30">
        <f t="shared" ref="N29:N38" si="15">IF(H29=0,0,L29/H29)</f>
        <v>-0.41118106257859938</v>
      </c>
      <c r="O29" s="10"/>
      <c r="P29" s="19">
        <f>SUM(OSRRefP22x_0)</f>
        <v>6585.0700000000006</v>
      </c>
      <c r="Q29" s="19"/>
      <c r="R29" s="30">
        <f t="shared" ref="R29:R38" si="16">IF(P$12=0,0,P29/P$12)</f>
        <v>0.53114227040943907</v>
      </c>
      <c r="S29" s="19"/>
      <c r="T29" s="19">
        <f>SUM(OSRRefT22x_0)</f>
        <v>18129.562987999998</v>
      </c>
      <c r="U29" s="19"/>
      <c r="V29" s="30">
        <f t="shared" ref="V29:V38" si="17">IF(T$12=0,0,T29/T$12)</f>
        <v>3.4039735238452868</v>
      </c>
      <c r="W29" s="4"/>
      <c r="X29" s="19">
        <f t="shared" ref="X29:X38" si="18">+P29-T29</f>
        <v>-11544.492987999998</v>
      </c>
      <c r="Y29" s="4"/>
      <c r="Z29" s="30">
        <f t="shared" ref="Z29:Z38" si="19">IF(T29=0,0,X29/T29)</f>
        <v>-0.63677723482034987</v>
      </c>
    </row>
    <row r="30" spans="1:26" s="29" customFormat="1" outlineLevel="1" collapsed="1" x14ac:dyDescent="0.25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313.34000000000003</v>
      </c>
      <c r="E30" s="1"/>
      <c r="F30" s="5">
        <f t="shared" si="12"/>
        <v>2.5273553509695967E-2</v>
      </c>
      <c r="G30" s="1"/>
      <c r="H30" s="1">
        <f>SUM(OSRRefH22_0x_0)</f>
        <v>1799.2969880000001</v>
      </c>
      <c r="I30" s="1"/>
      <c r="J30" s="5">
        <f t="shared" si="13"/>
        <v>0.33783270521967707</v>
      </c>
      <c r="K30" s="1"/>
      <c r="L30" s="1">
        <f t="shared" si="14"/>
        <v>-1485.9569879999999</v>
      </c>
      <c r="M30" s="1"/>
      <c r="N30" s="5">
        <f t="shared" si="15"/>
        <v>-0.82585420745449489</v>
      </c>
      <c r="O30" s="14"/>
      <c r="P30" s="1">
        <f>SUM(OSRRefP22_0x_0)</f>
        <v>313.34000000000003</v>
      </c>
      <c r="Q30" s="1"/>
      <c r="R30" s="5">
        <f t="shared" si="16"/>
        <v>2.5273553509695967E-2</v>
      </c>
      <c r="S30" s="1"/>
      <c r="T30" s="1">
        <f>SUM(OSRRefT22_0x_0)</f>
        <v>3679.1729880000003</v>
      </c>
      <c r="U30" s="1"/>
      <c r="V30" s="5">
        <f t="shared" si="17"/>
        <v>0.69079477806984613</v>
      </c>
      <c r="W30" s="1"/>
      <c r="X30" s="1">
        <f t="shared" si="18"/>
        <v>-3365.8329880000001</v>
      </c>
      <c r="Y30" s="1"/>
      <c r="Z30" s="5">
        <f t="shared" si="19"/>
        <v>-0.91483412141206988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>
        <v>257.36</v>
      </c>
      <c r="E31" s="2"/>
      <c r="F31" s="7">
        <f t="shared" si="12"/>
        <v>2.0758287263851899E-2</v>
      </c>
      <c r="G31" s="2"/>
      <c r="H31" s="6">
        <v>378.08115900000001</v>
      </c>
      <c r="I31" s="2"/>
      <c r="J31" s="7">
        <f t="shared" si="13"/>
        <v>7.0987825572662408E-2</v>
      </c>
      <c r="K31" s="2"/>
      <c r="L31" s="6">
        <f t="shared" si="14"/>
        <v>-120.721159</v>
      </c>
      <c r="M31" s="2"/>
      <c r="N31" s="7">
        <f t="shared" si="15"/>
        <v>-0.31929958985340501</v>
      </c>
      <c r="O31" s="11"/>
      <c r="P31" s="6">
        <v>257.36</v>
      </c>
      <c r="Q31" s="2"/>
      <c r="R31" s="7">
        <f t="shared" si="16"/>
        <v>2.0758287263851899E-2</v>
      </c>
      <c r="S31" s="2"/>
      <c r="T31" s="6">
        <v>776.03715899999997</v>
      </c>
      <c r="U31" s="2"/>
      <c r="V31" s="7">
        <f t="shared" si="17"/>
        <v>0.14570731487044686</v>
      </c>
      <c r="W31" s="2"/>
      <c r="X31" s="6">
        <f t="shared" si="18"/>
        <v>-518.67715899999996</v>
      </c>
      <c r="Y31" s="2"/>
      <c r="Z31" s="7">
        <f t="shared" si="19"/>
        <v>-0.66836639584161972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>
        <v>47.24</v>
      </c>
      <c r="E32" s="2"/>
      <c r="F32" s="7">
        <f t="shared" si="12"/>
        <v>3.8103104225379377E-3</v>
      </c>
      <c r="G32" s="2"/>
      <c r="H32" s="6">
        <v>114.133715</v>
      </c>
      <c r="I32" s="2"/>
      <c r="J32" s="7">
        <f t="shared" si="13"/>
        <v>2.1429537176117161E-2</v>
      </c>
      <c r="K32" s="2"/>
      <c r="L32" s="6">
        <f t="shared" si="14"/>
        <v>-66.893714999999986</v>
      </c>
      <c r="M32" s="2"/>
      <c r="N32" s="7">
        <f t="shared" si="15"/>
        <v>-0.5860995149417505</v>
      </c>
      <c r="O32" s="11"/>
      <c r="P32" s="6">
        <v>47.24</v>
      </c>
      <c r="Q32" s="2"/>
      <c r="R32" s="7">
        <f t="shared" si="16"/>
        <v>3.8103104225379377E-3</v>
      </c>
      <c r="S32" s="2"/>
      <c r="T32" s="6">
        <v>210.33371500000001</v>
      </c>
      <c r="U32" s="2"/>
      <c r="V32" s="7">
        <f t="shared" si="17"/>
        <v>3.9491872887720617E-2</v>
      </c>
      <c r="W32" s="2"/>
      <c r="X32" s="6">
        <f t="shared" si="18"/>
        <v>-163.093715</v>
      </c>
      <c r="Y32" s="2"/>
      <c r="Z32" s="7">
        <f t="shared" si="19"/>
        <v>-0.77540452799019877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2"/>
        <v>0</v>
      </c>
      <c r="G33" s="2"/>
      <c r="H33" s="6">
        <v>665</v>
      </c>
      <c r="I33" s="2"/>
      <c r="J33" s="7">
        <f t="shared" si="13"/>
        <v>0.12485918137438978</v>
      </c>
      <c r="K33" s="2"/>
      <c r="L33" s="6">
        <f t="shared" si="14"/>
        <v>-665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1330</v>
      </c>
      <c r="U33" s="2"/>
      <c r="V33" s="7">
        <f t="shared" si="17"/>
        <v>0.24971836274877957</v>
      </c>
      <c r="W33" s="2"/>
      <c r="X33" s="6">
        <f t="shared" si="18"/>
        <v>-1330</v>
      </c>
      <c r="Y33" s="2"/>
      <c r="Z33" s="7">
        <f t="shared" si="19"/>
        <v>-1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>
        <v>8.74</v>
      </c>
      <c r="E34" s="2"/>
      <c r="F34" s="7">
        <f t="shared" si="12"/>
        <v>7.0495582330612992E-4</v>
      </c>
      <c r="G34" s="2"/>
      <c r="H34" s="6">
        <v>16.040413999999998</v>
      </c>
      <c r="I34" s="2"/>
      <c r="J34" s="7">
        <f t="shared" si="13"/>
        <v>3.0117187382651144E-3</v>
      </c>
      <c r="K34" s="2"/>
      <c r="L34" s="6">
        <f t="shared" si="14"/>
        <v>-7.3004139999999982</v>
      </c>
      <c r="M34" s="2"/>
      <c r="N34" s="7">
        <f t="shared" si="15"/>
        <v>-0.45512628290017942</v>
      </c>
      <c r="O34" s="11"/>
      <c r="P34" s="6">
        <v>8.74</v>
      </c>
      <c r="Q34" s="2"/>
      <c r="R34" s="7">
        <f t="shared" si="16"/>
        <v>7.0495582330612992E-4</v>
      </c>
      <c r="S34" s="2"/>
      <c r="T34" s="6">
        <v>29.560414000000002</v>
      </c>
      <c r="U34" s="2"/>
      <c r="V34" s="7">
        <f t="shared" si="17"/>
        <v>5.550209162598573E-3</v>
      </c>
      <c r="W34" s="2"/>
      <c r="X34" s="6">
        <f t="shared" si="18"/>
        <v>-20.820414</v>
      </c>
      <c r="Y34" s="2"/>
      <c r="Z34" s="7">
        <f t="shared" si="19"/>
        <v>-0.70433431683331627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2"/>
        <v>0</v>
      </c>
      <c r="G35" s="2"/>
      <c r="H35" s="6">
        <v>357.76</v>
      </c>
      <c r="I35" s="2"/>
      <c r="J35" s="7">
        <f t="shared" si="13"/>
        <v>6.7172361997746899E-2</v>
      </c>
      <c r="K35" s="2"/>
      <c r="L35" s="6">
        <f t="shared" si="14"/>
        <v>-357.76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804.96</v>
      </c>
      <c r="U35" s="2"/>
      <c r="V35" s="7">
        <f t="shared" si="17"/>
        <v>0.15113781449493052</v>
      </c>
      <c r="W35" s="2"/>
      <c r="X35" s="6">
        <f t="shared" si="18"/>
        <v>-804.96</v>
      </c>
      <c r="Y35" s="2"/>
      <c r="Z35" s="7">
        <f t="shared" si="19"/>
        <v>-1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/>
      <c r="E37" s="2"/>
      <c r="F37" s="7">
        <f t="shared" si="12"/>
        <v>0</v>
      </c>
      <c r="G37" s="2"/>
      <c r="H37" s="6">
        <v>124.8</v>
      </c>
      <c r="I37" s="2"/>
      <c r="J37" s="7">
        <f t="shared" si="13"/>
        <v>2.3432219301539617E-2</v>
      </c>
      <c r="K37" s="2"/>
      <c r="L37" s="6">
        <f t="shared" si="14"/>
        <v>-124.8</v>
      </c>
      <c r="M37" s="2"/>
      <c r="N37" s="7">
        <f t="shared" si="15"/>
        <v>-1</v>
      </c>
      <c r="O37" s="11"/>
      <c r="P37" s="6"/>
      <c r="Q37" s="2"/>
      <c r="R37" s="7">
        <f t="shared" si="16"/>
        <v>0</v>
      </c>
      <c r="S37" s="2"/>
      <c r="T37" s="6">
        <v>280.8</v>
      </c>
      <c r="U37" s="2"/>
      <c r="V37" s="7">
        <f t="shared" si="17"/>
        <v>5.2722493428464141E-2</v>
      </c>
      <c r="W37" s="2"/>
      <c r="X37" s="6">
        <f t="shared" si="18"/>
        <v>-280.8</v>
      </c>
      <c r="Y37" s="2"/>
      <c r="Z37" s="7">
        <f t="shared" si="19"/>
        <v>-1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/>
      <c r="E38" s="2"/>
      <c r="F38" s="7">
        <f t="shared" si="12"/>
        <v>0</v>
      </c>
      <c r="G38" s="2"/>
      <c r="H38" s="6">
        <v>143.48169999999999</v>
      </c>
      <c r="I38" s="2"/>
      <c r="J38" s="7">
        <f t="shared" si="13"/>
        <v>2.6939861058956061E-2</v>
      </c>
      <c r="K38" s="2"/>
      <c r="L38" s="6">
        <f t="shared" si="14"/>
        <v>-143.48169999999999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247.48169999999999</v>
      </c>
      <c r="U38" s="2"/>
      <c r="V38" s="7">
        <f t="shared" si="17"/>
        <v>4.6466710476905745E-2</v>
      </c>
      <c r="W38" s="2"/>
      <c r="X38" s="6">
        <f t="shared" si="18"/>
        <v>-247.48169999999999</v>
      </c>
      <c r="Y38" s="2"/>
      <c r="Z38" s="7">
        <f t="shared" si="19"/>
        <v>-1</v>
      </c>
    </row>
    <row r="39" spans="1:26" s="29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4507.12</v>
      </c>
      <c r="E39" s="1"/>
      <c r="F39" s="5">
        <f t="shared" ref="F39:F49" si="20">IF(D$12=0,0,D39/D$12)</f>
        <v>0.36353781353999132</v>
      </c>
      <c r="G39" s="1"/>
      <c r="H39" s="1">
        <f>SUM(OSRRefH22_1x_0)</f>
        <v>5961.39</v>
      </c>
      <c r="I39" s="1"/>
      <c r="J39" s="5">
        <f t="shared" ref="J39:J49" si="21">IF(H$12=0,0,H39/H$12)</f>
        <v>1.1192996620352986</v>
      </c>
      <c r="K39" s="1"/>
      <c r="L39" s="1">
        <f t="shared" ref="L39:L49" si="22">+D39-H39</f>
        <v>-1454.2700000000004</v>
      </c>
      <c r="M39" s="1"/>
      <c r="N39" s="5">
        <f t="shared" ref="N39:N49" si="23">IF(H39=0,0,L39/H39)</f>
        <v>-0.24394813961173489</v>
      </c>
      <c r="O39" s="14"/>
      <c r="P39" s="1">
        <f>SUM(OSRRefP22_1x_0)</f>
        <v>4507.12</v>
      </c>
      <c r="Q39" s="1"/>
      <c r="R39" s="5">
        <f t="shared" ref="R39:R49" si="24">IF(P$12=0,0,P39/P$12)</f>
        <v>0.36353781353999132</v>
      </c>
      <c r="S39" s="1"/>
      <c r="T39" s="1">
        <f>SUM(OSRRefT22_1x_0)</f>
        <v>10901.39</v>
      </c>
      <c r="U39" s="1"/>
      <c r="V39" s="5">
        <f t="shared" ref="V39:V49" si="25">IF(T$12=0,0,T39/T$12)</f>
        <v>2.0468250093879083</v>
      </c>
      <c r="W39" s="1"/>
      <c r="X39" s="1">
        <f t="shared" ref="X39:X49" si="26">+P39-T39</f>
        <v>-6394.2699999999995</v>
      </c>
      <c r="Y39" s="1"/>
      <c r="Z39" s="5">
        <f t="shared" ref="Z39:Z49" si="27">IF(T39=0,0,X39/T39)</f>
        <v>-0.58655547595306656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20"/>
        <v>0</v>
      </c>
      <c r="G40" s="2"/>
      <c r="H40" s="6">
        <v>3952</v>
      </c>
      <c r="I40" s="2"/>
      <c r="J40" s="7">
        <f t="shared" si="21"/>
        <v>0.74202027788208791</v>
      </c>
      <c r="K40" s="2"/>
      <c r="L40" s="6">
        <f t="shared" si="22"/>
        <v>-3952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8892</v>
      </c>
      <c r="U40" s="2"/>
      <c r="V40" s="7">
        <f t="shared" si="25"/>
        <v>1.6695456252346976</v>
      </c>
      <c r="W40" s="2"/>
      <c r="X40" s="6">
        <f t="shared" si="26"/>
        <v>-8892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20"/>
        <v>0</v>
      </c>
      <c r="G43" s="2"/>
      <c r="H43" s="6">
        <v>780.3</v>
      </c>
      <c r="I43" s="2"/>
      <c r="J43" s="7">
        <f t="shared" si="21"/>
        <v>0.14650769808486669</v>
      </c>
      <c r="K43" s="2"/>
      <c r="L43" s="6">
        <f t="shared" si="22"/>
        <v>-780.3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780.3</v>
      </c>
      <c r="U43" s="2"/>
      <c r="V43" s="7">
        <f t="shared" si="25"/>
        <v>0.14650769808486669</v>
      </c>
      <c r="W43" s="2"/>
      <c r="X43" s="6">
        <f t="shared" si="26"/>
        <v>-780.3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2408.23</v>
      </c>
      <c r="E44" s="2"/>
      <c r="F44" s="7">
        <f t="shared" si="20"/>
        <v>0.19424436640280562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2408.23</v>
      </c>
      <c r="M44" s="2"/>
      <c r="N44" s="7">
        <f t="shared" si="23"/>
        <v>0</v>
      </c>
      <c r="O44" s="11"/>
      <c r="P44" s="6">
        <v>2408.23</v>
      </c>
      <c r="Q44" s="2"/>
      <c r="R44" s="7">
        <f t="shared" si="24"/>
        <v>0.19424436640280562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2408.23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2098.89</v>
      </c>
      <c r="E46" s="2"/>
      <c r="F46" s="7">
        <f t="shared" si="20"/>
        <v>0.16929344713718567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2098.89</v>
      </c>
      <c r="M46" s="2"/>
      <c r="N46" s="7">
        <f t="shared" si="23"/>
        <v>0</v>
      </c>
      <c r="O46" s="11"/>
      <c r="P46" s="6">
        <v>2098.89</v>
      </c>
      <c r="Q46" s="2"/>
      <c r="R46" s="7">
        <f t="shared" si="24"/>
        <v>0.16929344713718567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2098.89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20"/>
        <v>0</v>
      </c>
      <c r="G47" s="2"/>
      <c r="H47" s="6">
        <v>1229.0899999999999</v>
      </c>
      <c r="I47" s="2"/>
      <c r="J47" s="7">
        <f t="shared" si="21"/>
        <v>0.23077168606834395</v>
      </c>
      <c r="K47" s="2"/>
      <c r="L47" s="6">
        <f t="shared" si="22"/>
        <v>-1229.0899999999999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1229.0899999999999</v>
      </c>
      <c r="U47" s="2"/>
      <c r="V47" s="7">
        <f t="shared" si="25"/>
        <v>0.23077168606834395</v>
      </c>
      <c r="W47" s="2"/>
      <c r="X47" s="6">
        <f t="shared" si="26"/>
        <v>-1229.0899999999999</v>
      </c>
      <c r="Y47" s="2"/>
      <c r="Z47" s="7">
        <f t="shared" si="27"/>
        <v>-1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9" customFormat="1" outlineLevel="1" collapsed="1" x14ac:dyDescent="0.25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6" si="28">IF(D$12=0,0,D50/D$12)</f>
        <v>0</v>
      </c>
      <c r="G50" s="1"/>
      <c r="H50" s="1">
        <f>SUM(OSRRefH22_2x_0)</f>
        <v>100</v>
      </c>
      <c r="I50" s="1"/>
      <c r="J50" s="5">
        <f t="shared" ref="J50:J66" si="29">IF(H$12=0,0,H50/H$12)</f>
        <v>1.8775816748028539E-2</v>
      </c>
      <c r="K50" s="1"/>
      <c r="L50" s="1">
        <f t="shared" ref="L50:L66" si="30">+D50-H50</f>
        <v>-100</v>
      </c>
      <c r="M50" s="1"/>
      <c r="N50" s="5">
        <f t="shared" ref="N50:N66" si="31">IF(H50=0,0,L50/H50)</f>
        <v>-1</v>
      </c>
      <c r="O50" s="14"/>
      <c r="P50" s="1">
        <f>SUM(OSRRefP22_2x_0)</f>
        <v>0</v>
      </c>
      <c r="Q50" s="1"/>
      <c r="R50" s="5">
        <f t="shared" ref="R50:R66" si="32">IF(P$12=0,0,P50/P$12)</f>
        <v>0</v>
      </c>
      <c r="S50" s="1"/>
      <c r="T50" s="1">
        <f>SUM(OSRRefT22_2x_0)</f>
        <v>100</v>
      </c>
      <c r="U50" s="1"/>
      <c r="V50" s="5">
        <f t="shared" ref="V50:V66" si="33">IF(T$12=0,0,T50/T$12)</f>
        <v>1.8775816748028539E-2</v>
      </c>
      <c r="W50" s="1"/>
      <c r="X50" s="1">
        <f t="shared" ref="X50:X66" si="34">+P50-T50</f>
        <v>-100</v>
      </c>
      <c r="Y50" s="1"/>
      <c r="Z50" s="5">
        <f t="shared" ref="Z50:Z66" si="35">IF(T50=0,0,X50/T50)</f>
        <v>-1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8"/>
        <v>0</v>
      </c>
      <c r="G51" s="2"/>
      <c r="H51" s="6">
        <v>100</v>
      </c>
      <c r="I51" s="2"/>
      <c r="J51" s="7">
        <f t="shared" si="29"/>
        <v>1.8775816748028539E-2</v>
      </c>
      <c r="K51" s="2"/>
      <c r="L51" s="6">
        <f t="shared" si="30"/>
        <v>-100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100</v>
      </c>
      <c r="U51" s="2"/>
      <c r="V51" s="7">
        <f t="shared" si="33"/>
        <v>1.8775816748028539E-2</v>
      </c>
      <c r="W51" s="2"/>
      <c r="X51" s="6">
        <f t="shared" si="34"/>
        <v>-100</v>
      </c>
      <c r="Y51" s="2"/>
      <c r="Z51" s="7">
        <f t="shared" si="35"/>
        <v>-1</v>
      </c>
    </row>
    <row r="52" spans="1:26" s="29" customFormat="1" outlineLevel="1" collapsed="1" x14ac:dyDescent="0.25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0.3</v>
      </c>
      <c r="E52" s="1"/>
      <c r="F52" s="5">
        <f t="shared" si="28"/>
        <v>2.4197568305702396E-5</v>
      </c>
      <c r="G52" s="1"/>
      <c r="H52" s="1">
        <f>SUM(OSRRefH22_3x_0)</f>
        <v>0</v>
      </c>
      <c r="I52" s="1"/>
      <c r="J52" s="5">
        <f t="shared" si="29"/>
        <v>0</v>
      </c>
      <c r="K52" s="1"/>
      <c r="L52" s="1">
        <f t="shared" si="30"/>
        <v>0.3</v>
      </c>
      <c r="M52" s="1"/>
      <c r="N52" s="5">
        <f t="shared" si="31"/>
        <v>0</v>
      </c>
      <c r="O52" s="14"/>
      <c r="P52" s="1">
        <f>SUM(OSRRefP22_3x_0)</f>
        <v>0.3</v>
      </c>
      <c r="Q52" s="1"/>
      <c r="R52" s="5">
        <f t="shared" si="32"/>
        <v>2.4197568305702396E-5</v>
      </c>
      <c r="S52" s="1"/>
      <c r="T52" s="1">
        <f>SUM(OSRRefT22_3x_0)</f>
        <v>0</v>
      </c>
      <c r="U52" s="1"/>
      <c r="V52" s="5">
        <f t="shared" si="33"/>
        <v>0</v>
      </c>
      <c r="W52" s="1"/>
      <c r="X52" s="1">
        <f t="shared" si="34"/>
        <v>0.3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0.3</v>
      </c>
      <c r="E53" s="2"/>
      <c r="F53" s="7">
        <f t="shared" si="28"/>
        <v>2.4197568305702396E-5</v>
      </c>
      <c r="G53" s="2"/>
      <c r="H53" s="6"/>
      <c r="I53" s="2"/>
      <c r="J53" s="7">
        <f t="shared" si="29"/>
        <v>0</v>
      </c>
      <c r="K53" s="2"/>
      <c r="L53" s="6">
        <f t="shared" si="30"/>
        <v>0.3</v>
      </c>
      <c r="M53" s="2"/>
      <c r="N53" s="7">
        <f t="shared" si="31"/>
        <v>0</v>
      </c>
      <c r="O53" s="11"/>
      <c r="P53" s="6">
        <v>0.3</v>
      </c>
      <c r="Q53" s="2"/>
      <c r="R53" s="7">
        <f t="shared" si="32"/>
        <v>2.4197568305702396E-5</v>
      </c>
      <c r="S53" s="2"/>
      <c r="T53" s="6"/>
      <c r="U53" s="2"/>
      <c r="V53" s="7">
        <f t="shared" si="33"/>
        <v>0</v>
      </c>
      <c r="W53" s="2"/>
      <c r="X53" s="6">
        <f t="shared" si="34"/>
        <v>0.3</v>
      </c>
      <c r="Y53" s="2"/>
      <c r="Z53" s="7">
        <f t="shared" si="35"/>
        <v>0</v>
      </c>
    </row>
    <row r="54" spans="1:26" s="29" customFormat="1" outlineLevel="1" collapsed="1" x14ac:dyDescent="0.25">
      <c r="A54" s="28"/>
      <c r="B54" s="14" t="str">
        <f>CONCATENATE("     ","Bank/card Fees                                    ")</f>
        <v xml:space="preserve">     Bank/card Fees                                    </v>
      </c>
      <c r="C54" s="14"/>
      <c r="D54" s="1">
        <f>SUM(OSRRefD22_4x_0)</f>
        <v>0</v>
      </c>
      <c r="E54" s="1"/>
      <c r="F54" s="5">
        <f t="shared" si="28"/>
        <v>0</v>
      </c>
      <c r="G54" s="1"/>
      <c r="H54" s="1">
        <f>SUM(OSRRefH22_4x_0)</f>
        <v>160</v>
      </c>
      <c r="I54" s="1"/>
      <c r="J54" s="5">
        <f t="shared" si="29"/>
        <v>3.0041306796845663E-2</v>
      </c>
      <c r="K54" s="1"/>
      <c r="L54" s="1">
        <f t="shared" si="30"/>
        <v>-160</v>
      </c>
      <c r="M54" s="1"/>
      <c r="N54" s="5">
        <f t="shared" si="31"/>
        <v>-1</v>
      </c>
      <c r="O54" s="14"/>
      <c r="P54" s="1">
        <f>SUM(OSRRefP22_4x_0)</f>
        <v>0</v>
      </c>
      <c r="Q54" s="1"/>
      <c r="R54" s="5">
        <f t="shared" si="32"/>
        <v>0</v>
      </c>
      <c r="S54" s="1"/>
      <c r="T54" s="1">
        <f>SUM(OSRRefT22_4x_0)</f>
        <v>160</v>
      </c>
      <c r="U54" s="1"/>
      <c r="V54" s="5">
        <f t="shared" si="33"/>
        <v>3.0041306796845663E-2</v>
      </c>
      <c r="W54" s="1"/>
      <c r="X54" s="1">
        <f t="shared" si="34"/>
        <v>-160</v>
      </c>
      <c r="Y54" s="1"/>
      <c r="Z54" s="5">
        <f t="shared" si="35"/>
        <v>-1</v>
      </c>
    </row>
    <row r="55" spans="1:26" s="24" customFormat="1" hidden="1" outlineLevel="2" x14ac:dyDescent="0.25">
      <c r="A55" s="27"/>
      <c r="B55" s="11" t="str">
        <f>CONCATENATE("          ", "6381", " - ", "BANK/CREDIT CARD FEES")</f>
        <v xml:space="preserve">          6381 - BANK/CREDIT CARD FEES</v>
      </c>
      <c r="C55" s="11"/>
      <c r="D55" s="6"/>
      <c r="E55" s="2"/>
      <c r="F55" s="7">
        <f t="shared" si="28"/>
        <v>0</v>
      </c>
      <c r="G55" s="2"/>
      <c r="H55" s="6">
        <v>160</v>
      </c>
      <c r="I55" s="2"/>
      <c r="J55" s="7">
        <f t="shared" si="29"/>
        <v>3.0041306796845663E-2</v>
      </c>
      <c r="K55" s="2"/>
      <c r="L55" s="6">
        <f t="shared" si="30"/>
        <v>-160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160</v>
      </c>
      <c r="U55" s="2"/>
      <c r="V55" s="7">
        <f t="shared" si="33"/>
        <v>3.0041306796845663E-2</v>
      </c>
      <c r="W55" s="2"/>
      <c r="X55" s="6">
        <f t="shared" si="34"/>
        <v>-160</v>
      </c>
      <c r="Y55" s="2"/>
      <c r="Z55" s="7">
        <f t="shared" si="35"/>
        <v>-1</v>
      </c>
    </row>
    <row r="56" spans="1:26" s="29" customFormat="1" outlineLevel="1" collapsed="1" x14ac:dyDescent="0.25">
      <c r="A56" s="28"/>
      <c r="B56" s="14" t="str">
        <f>CONCATENATE("     ","Discounts and Markdowns                           ")</f>
        <v xml:space="preserve">     Discounts and Markdowns                           </v>
      </c>
      <c r="C56" s="14"/>
      <c r="D56" s="1">
        <f>SUM(OSRRefD22_5x_0)</f>
        <v>0</v>
      </c>
      <c r="E56" s="1"/>
      <c r="F56" s="5">
        <f t="shared" si="28"/>
        <v>0</v>
      </c>
      <c r="G56" s="1"/>
      <c r="H56" s="1">
        <f>SUM(OSRRefH22_5x_0)</f>
        <v>100</v>
      </c>
      <c r="I56" s="1"/>
      <c r="J56" s="5">
        <f t="shared" si="29"/>
        <v>1.8775816748028539E-2</v>
      </c>
      <c r="K56" s="1"/>
      <c r="L56" s="1">
        <f t="shared" si="30"/>
        <v>-100</v>
      </c>
      <c r="M56" s="1"/>
      <c r="N56" s="5">
        <f t="shared" si="31"/>
        <v>-1</v>
      </c>
      <c r="O56" s="14"/>
      <c r="P56" s="1">
        <f>SUM(OSRRefP22_5x_0)</f>
        <v>0</v>
      </c>
      <c r="Q56" s="1"/>
      <c r="R56" s="5">
        <f t="shared" si="32"/>
        <v>0</v>
      </c>
      <c r="S56" s="1"/>
      <c r="T56" s="1">
        <f>SUM(OSRRefT22_5x_0)</f>
        <v>100</v>
      </c>
      <c r="U56" s="1"/>
      <c r="V56" s="5">
        <f t="shared" si="33"/>
        <v>1.8775816748028539E-2</v>
      </c>
      <c r="W56" s="1"/>
      <c r="X56" s="1">
        <f t="shared" si="34"/>
        <v>-100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"6382", " - ", "DISCOUNTS/MARK DOWNS")</f>
        <v xml:space="preserve">          6382 - DISCOUNTS/MARK DOWNS</v>
      </c>
      <c r="C57" s="11"/>
      <c r="D57" s="6"/>
      <c r="E57" s="2"/>
      <c r="F57" s="7">
        <f t="shared" si="28"/>
        <v>0</v>
      </c>
      <c r="G57" s="2"/>
      <c r="H57" s="6">
        <v>100</v>
      </c>
      <c r="I57" s="2"/>
      <c r="J57" s="7">
        <f t="shared" si="29"/>
        <v>1.8775816748028539E-2</v>
      </c>
      <c r="K57" s="2"/>
      <c r="L57" s="6">
        <f t="shared" si="30"/>
        <v>-100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100</v>
      </c>
      <c r="U57" s="2"/>
      <c r="V57" s="7">
        <f t="shared" si="33"/>
        <v>1.8775816748028539E-2</v>
      </c>
      <c r="W57" s="2"/>
      <c r="X57" s="6">
        <f t="shared" si="34"/>
        <v>-100</v>
      </c>
      <c r="Y57" s="2"/>
      <c r="Z57" s="7">
        <f t="shared" si="35"/>
        <v>-1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0</v>
      </c>
      <c r="E58" s="1"/>
      <c r="F58" s="5">
        <f t="shared" si="28"/>
        <v>0</v>
      </c>
      <c r="G58" s="1"/>
      <c r="H58" s="1">
        <f>SUM(OSRRefH22_6x_0)</f>
        <v>255</v>
      </c>
      <c r="I58" s="1"/>
      <c r="J58" s="5">
        <f t="shared" si="29"/>
        <v>4.7878332707472777E-2</v>
      </c>
      <c r="K58" s="1"/>
      <c r="L58" s="1">
        <f t="shared" si="30"/>
        <v>-255</v>
      </c>
      <c r="M58" s="1"/>
      <c r="N58" s="5">
        <f t="shared" si="31"/>
        <v>-1</v>
      </c>
      <c r="O58" s="14"/>
      <c r="P58" s="1">
        <f>SUM(OSRRefP22_6x_0)</f>
        <v>0</v>
      </c>
      <c r="Q58" s="1"/>
      <c r="R58" s="5">
        <f t="shared" si="32"/>
        <v>0</v>
      </c>
      <c r="S58" s="1"/>
      <c r="T58" s="1">
        <f>SUM(OSRRefT22_6x_0)</f>
        <v>255</v>
      </c>
      <c r="U58" s="1"/>
      <c r="V58" s="5">
        <f t="shared" si="33"/>
        <v>4.7878332707472777E-2</v>
      </c>
      <c r="W58" s="1"/>
      <c r="X58" s="1">
        <f t="shared" si="34"/>
        <v>-255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"6305", " - ", "FREIGHT OUT")</f>
        <v xml:space="preserve">          6305 - FREIGHT OUT</v>
      </c>
      <c r="C59" s="11"/>
      <c r="D59" s="6"/>
      <c r="E59" s="2"/>
      <c r="F59" s="7">
        <f t="shared" si="28"/>
        <v>0</v>
      </c>
      <c r="G59" s="2"/>
      <c r="H59" s="6">
        <v>255</v>
      </c>
      <c r="I59" s="2"/>
      <c r="J59" s="7">
        <f t="shared" si="29"/>
        <v>4.7878332707472777E-2</v>
      </c>
      <c r="K59" s="2"/>
      <c r="L59" s="6">
        <f t="shared" si="30"/>
        <v>-255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255</v>
      </c>
      <c r="U59" s="2"/>
      <c r="V59" s="7">
        <f t="shared" si="33"/>
        <v>4.7878332707472777E-2</v>
      </c>
      <c r="W59" s="2"/>
      <c r="X59" s="6">
        <f t="shared" si="34"/>
        <v>-255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SUM(OSRRefD22_7x_0)</f>
        <v>0</v>
      </c>
      <c r="E60" s="1"/>
      <c r="F60" s="5">
        <f t="shared" si="28"/>
        <v>0</v>
      </c>
      <c r="G60" s="1"/>
      <c r="H60" s="1">
        <f>SUM(OSRRefH22_7x_0)</f>
        <v>0</v>
      </c>
      <c r="I60" s="1"/>
      <c r="J60" s="5">
        <f t="shared" si="29"/>
        <v>0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SUM(OSRRefP22_7x_0)</f>
        <v>719.55</v>
      </c>
      <c r="Q60" s="1"/>
      <c r="R60" s="5">
        <f t="shared" si="32"/>
        <v>5.8037867581227198E-2</v>
      </c>
      <c r="S60" s="1"/>
      <c r="T60" s="1">
        <f>SUM(OSRRefT22_7x_0)</f>
        <v>1000</v>
      </c>
      <c r="U60" s="1"/>
      <c r="V60" s="5">
        <f t="shared" si="33"/>
        <v>0.1877581674802854</v>
      </c>
      <c r="W60" s="1"/>
      <c r="X60" s="1">
        <f t="shared" si="34"/>
        <v>-280.45000000000005</v>
      </c>
      <c r="Y60" s="1"/>
      <c r="Z60" s="5">
        <f t="shared" si="35"/>
        <v>-0.28045000000000003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719.55</v>
      </c>
      <c r="Q61" s="2"/>
      <c r="R61" s="7">
        <f t="shared" si="32"/>
        <v>5.8037867581227198E-2</v>
      </c>
      <c r="S61" s="2"/>
      <c r="T61" s="6">
        <v>1000</v>
      </c>
      <c r="U61" s="2"/>
      <c r="V61" s="7">
        <f t="shared" si="33"/>
        <v>0.1877581674802854</v>
      </c>
      <c r="W61" s="2"/>
      <c r="X61" s="6">
        <f t="shared" si="34"/>
        <v>-280.45000000000005</v>
      </c>
      <c r="Y61" s="2"/>
      <c r="Z61" s="7">
        <f t="shared" si="35"/>
        <v>-0.28045000000000003</v>
      </c>
    </row>
    <row r="62" spans="1:26" s="29" customFormat="1" outlineLevel="1" collapsed="1" x14ac:dyDescent="0.25">
      <c r="A62" s="28"/>
      <c r="B62" s="14" t="str">
        <f>CONCATENATE("     ","Professional Services                             ")</f>
        <v xml:space="preserve">     Professional Services                             </v>
      </c>
      <c r="C62" s="14"/>
      <c r="D62" s="1">
        <f>SUM(OSRRefD22_8x_0)</f>
        <v>0</v>
      </c>
      <c r="E62" s="1"/>
      <c r="F62" s="5">
        <f t="shared" si="28"/>
        <v>0</v>
      </c>
      <c r="G62" s="1"/>
      <c r="H62" s="1">
        <f>SUM(OSRRefH22_8x_0)</f>
        <v>0</v>
      </c>
      <c r="I62" s="1"/>
      <c r="J62" s="5">
        <f t="shared" si="29"/>
        <v>0</v>
      </c>
      <c r="K62" s="1"/>
      <c r="L62" s="1">
        <f t="shared" si="30"/>
        <v>0</v>
      </c>
      <c r="M62" s="1"/>
      <c r="N62" s="5">
        <f t="shared" si="31"/>
        <v>0</v>
      </c>
      <c r="O62" s="14"/>
      <c r="P62" s="1">
        <f>SUM(OSRRefP22_8x_0)</f>
        <v>0</v>
      </c>
      <c r="Q62" s="1"/>
      <c r="R62" s="5">
        <f t="shared" si="32"/>
        <v>0</v>
      </c>
      <c r="S62" s="1"/>
      <c r="T62" s="1">
        <f>SUM(OSRRefT22_8x_0)</f>
        <v>800</v>
      </c>
      <c r="U62" s="1"/>
      <c r="V62" s="5">
        <f t="shared" si="33"/>
        <v>0.15020653398422831</v>
      </c>
      <c r="W62" s="1"/>
      <c r="X62" s="1">
        <f t="shared" si="34"/>
        <v>-800</v>
      </c>
      <c r="Y62" s="1"/>
      <c r="Z62" s="5">
        <f t="shared" si="35"/>
        <v>-1</v>
      </c>
    </row>
    <row r="63" spans="1:26" s="24" customFormat="1" hidden="1" outlineLevel="2" x14ac:dyDescent="0.25">
      <c r="A63" s="27"/>
      <c r="B63" s="11" t="str">
        <f>CONCATENATE("          ", "6336", " - ", "PROFESSIONAL SERVICES")</f>
        <v xml:space="preserve">          6336 - PROFESSIONAL SERVICES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/>
      <c r="Q63" s="2"/>
      <c r="R63" s="7">
        <f t="shared" si="32"/>
        <v>0</v>
      </c>
      <c r="S63" s="2"/>
      <c r="T63" s="6">
        <v>800</v>
      </c>
      <c r="U63" s="2"/>
      <c r="V63" s="7">
        <f t="shared" si="33"/>
        <v>0.15020653398422831</v>
      </c>
      <c r="W63" s="2"/>
      <c r="X63" s="6">
        <f t="shared" si="34"/>
        <v>-800</v>
      </c>
      <c r="Y63" s="2"/>
      <c r="Z63" s="7">
        <f t="shared" si="35"/>
        <v>-1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SUM(OSRRefD22_9x_0)</f>
        <v>78.599999999999994</v>
      </c>
      <c r="E64" s="1"/>
      <c r="F64" s="5">
        <f t="shared" si="28"/>
        <v>6.3397628960940276E-3</v>
      </c>
      <c r="G64" s="1"/>
      <c r="H64" s="1">
        <f>SUM(OSRRefH22_9x_0)</f>
        <v>100</v>
      </c>
      <c r="I64" s="1"/>
      <c r="J64" s="5">
        <f t="shared" si="29"/>
        <v>1.8775816748028539E-2</v>
      </c>
      <c r="K64" s="1"/>
      <c r="L64" s="1">
        <f t="shared" si="30"/>
        <v>-21.400000000000006</v>
      </c>
      <c r="M64" s="1"/>
      <c r="N64" s="5">
        <f t="shared" si="31"/>
        <v>-0.21400000000000005</v>
      </c>
      <c r="O64" s="14"/>
      <c r="P64" s="1">
        <f>SUM(OSRRefP22_9x_0)</f>
        <v>78.599999999999994</v>
      </c>
      <c r="Q64" s="1"/>
      <c r="R64" s="5">
        <f t="shared" si="32"/>
        <v>6.3397628960940276E-3</v>
      </c>
      <c r="S64" s="1"/>
      <c r="T64" s="1">
        <f>SUM(OSRRefT22_9x_0)</f>
        <v>200</v>
      </c>
      <c r="U64" s="1"/>
      <c r="V64" s="5">
        <f t="shared" si="33"/>
        <v>3.7551633496057078E-2</v>
      </c>
      <c r="W64" s="1"/>
      <c r="X64" s="1">
        <f t="shared" si="34"/>
        <v>-121.4</v>
      </c>
      <c r="Y64" s="1"/>
      <c r="Z64" s="5">
        <f t="shared" si="35"/>
        <v>-0.60699999999999998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78.599999999999994</v>
      </c>
      <c r="E65" s="2"/>
      <c r="F65" s="7">
        <f t="shared" si="28"/>
        <v>6.3397628960940276E-3</v>
      </c>
      <c r="G65" s="2"/>
      <c r="H65" s="6"/>
      <c r="I65" s="2"/>
      <c r="J65" s="7">
        <f t="shared" si="29"/>
        <v>0</v>
      </c>
      <c r="K65" s="2"/>
      <c r="L65" s="6">
        <f t="shared" si="30"/>
        <v>78.599999999999994</v>
      </c>
      <c r="M65" s="2"/>
      <c r="N65" s="7">
        <f t="shared" si="31"/>
        <v>0</v>
      </c>
      <c r="O65" s="11"/>
      <c r="P65" s="6">
        <v>78.599999999999994</v>
      </c>
      <c r="Q65" s="2"/>
      <c r="R65" s="7">
        <f t="shared" si="32"/>
        <v>6.3397628960940276E-3</v>
      </c>
      <c r="S65" s="2"/>
      <c r="T65" s="6"/>
      <c r="U65" s="2"/>
      <c r="V65" s="7">
        <f t="shared" si="33"/>
        <v>0</v>
      </c>
      <c r="W65" s="2"/>
      <c r="X65" s="6">
        <f t="shared" si="34"/>
        <v>78.599999999999994</v>
      </c>
      <c r="Y65" s="2"/>
      <c r="Z65" s="7">
        <f t="shared" si="35"/>
        <v>0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28"/>
        <v>0</v>
      </c>
      <c r="G66" s="2"/>
      <c r="H66" s="6">
        <v>100</v>
      </c>
      <c r="I66" s="2"/>
      <c r="J66" s="7">
        <f t="shared" si="29"/>
        <v>1.8775816748028539E-2</v>
      </c>
      <c r="K66" s="2"/>
      <c r="L66" s="6">
        <f t="shared" si="30"/>
        <v>-100</v>
      </c>
      <c r="M66" s="2"/>
      <c r="N66" s="7">
        <f t="shared" si="31"/>
        <v>-1</v>
      </c>
      <c r="O66" s="11"/>
      <c r="P66" s="6"/>
      <c r="Q66" s="2"/>
      <c r="R66" s="7">
        <f t="shared" si="32"/>
        <v>0</v>
      </c>
      <c r="S66" s="2"/>
      <c r="T66" s="6">
        <v>200</v>
      </c>
      <c r="U66" s="2"/>
      <c r="V66" s="7">
        <f t="shared" si="33"/>
        <v>3.7551633496057078E-2</v>
      </c>
      <c r="W66" s="2"/>
      <c r="X66" s="6">
        <f t="shared" si="34"/>
        <v>-200</v>
      </c>
      <c r="Y66" s="2"/>
      <c r="Z66" s="7">
        <f t="shared" si="35"/>
        <v>-1</v>
      </c>
    </row>
    <row r="67" spans="1:26" s="29" customFormat="1" outlineLevel="1" collapsed="1" x14ac:dyDescent="0.25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SUM(OSRRefD22_10x_0)</f>
        <v>44</v>
      </c>
      <c r="E67" s="1"/>
      <c r="F67" s="5">
        <f t="shared" ref="F67:F69" si="36">IF(D$12=0,0,D67/D$12)</f>
        <v>3.5489766848363518E-3</v>
      </c>
      <c r="G67" s="1"/>
      <c r="H67" s="1">
        <f>SUM(OSRRefH22_10x_0)</f>
        <v>274</v>
      </c>
      <c r="I67" s="1"/>
      <c r="J67" s="5">
        <f t="shared" ref="J67:J69" si="37">IF(H$12=0,0,H67/H$12)</f>
        <v>5.1445737889598199E-2</v>
      </c>
      <c r="K67" s="1"/>
      <c r="L67" s="1">
        <f t="shared" ref="L67:L69" si="38">+D67-H67</f>
        <v>-230</v>
      </c>
      <c r="M67" s="1"/>
      <c r="N67" s="5">
        <f t="shared" ref="N67:N69" si="39">IF(H67=0,0,L67/H67)</f>
        <v>-0.83941605839416056</v>
      </c>
      <c r="O67" s="14"/>
      <c r="P67" s="1">
        <f>SUM(OSRRefP22_10x_0)</f>
        <v>-69.5</v>
      </c>
      <c r="Q67" s="1"/>
      <c r="R67" s="5">
        <f t="shared" ref="R67:R69" si="40">IF(P$12=0,0,P67/P$12)</f>
        <v>-5.6057699908210554E-3</v>
      </c>
      <c r="S67" s="1"/>
      <c r="T67" s="1">
        <f>SUM(OSRRefT22_10x_0)</f>
        <v>274</v>
      </c>
      <c r="U67" s="1"/>
      <c r="V67" s="5">
        <f t="shared" ref="V67:V69" si="41">IF(T$12=0,0,T67/T$12)</f>
        <v>5.1445737889598199E-2</v>
      </c>
      <c r="W67" s="1"/>
      <c r="X67" s="1">
        <f t="shared" ref="X67:X69" si="42">+P67-T67</f>
        <v>-343.5</v>
      </c>
      <c r="Y67" s="1"/>
      <c r="Z67" s="5">
        <f t="shared" ref="Z67:Z69" si="43">IF(T67=0,0,X67/T67)</f>
        <v>-1.2536496350364963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44</v>
      </c>
      <c r="E68" s="2"/>
      <c r="F68" s="7">
        <f t="shared" si="36"/>
        <v>3.5489766848363518E-3</v>
      </c>
      <c r="G68" s="2"/>
      <c r="H68" s="6"/>
      <c r="I68" s="2"/>
      <c r="J68" s="7">
        <f t="shared" si="37"/>
        <v>0</v>
      </c>
      <c r="K68" s="2"/>
      <c r="L68" s="6">
        <f t="shared" si="38"/>
        <v>44</v>
      </c>
      <c r="M68" s="2"/>
      <c r="N68" s="7">
        <f t="shared" si="39"/>
        <v>0</v>
      </c>
      <c r="O68" s="11"/>
      <c r="P68" s="6">
        <v>88</v>
      </c>
      <c r="Q68" s="2"/>
      <c r="R68" s="7">
        <f t="shared" si="40"/>
        <v>7.0979533696727036E-3</v>
      </c>
      <c r="S68" s="2"/>
      <c r="T68" s="6"/>
      <c r="U68" s="2"/>
      <c r="V68" s="7">
        <f t="shared" si="41"/>
        <v>0</v>
      </c>
      <c r="W68" s="2"/>
      <c r="X68" s="6">
        <f t="shared" si="42"/>
        <v>88</v>
      </c>
      <c r="Y68" s="2"/>
      <c r="Z68" s="7">
        <f t="shared" si="43"/>
        <v>0</v>
      </c>
    </row>
    <row r="69" spans="1:26" s="24" customFormat="1" hidden="1" outlineLevel="2" x14ac:dyDescent="0.25">
      <c r="A69" s="27"/>
      <c r="B69" s="11" t="str">
        <f>CONCATENATE("          ", "6285", " - ", "JANITORIAL SERVICES")</f>
        <v xml:space="preserve">          6285 - JANITORIAL SERVICES</v>
      </c>
      <c r="C69" s="11"/>
      <c r="D69" s="6"/>
      <c r="E69" s="2"/>
      <c r="F69" s="7">
        <f t="shared" si="36"/>
        <v>0</v>
      </c>
      <c r="G69" s="2"/>
      <c r="H69" s="6">
        <v>274</v>
      </c>
      <c r="I69" s="2"/>
      <c r="J69" s="7">
        <f t="shared" si="37"/>
        <v>5.1445737889598199E-2</v>
      </c>
      <c r="K69" s="2"/>
      <c r="L69" s="6">
        <f t="shared" si="38"/>
        <v>-274</v>
      </c>
      <c r="M69" s="2"/>
      <c r="N69" s="7">
        <f t="shared" si="39"/>
        <v>-1</v>
      </c>
      <c r="O69" s="11"/>
      <c r="P69" s="6">
        <v>-157.5</v>
      </c>
      <c r="Q69" s="2"/>
      <c r="R69" s="7">
        <f t="shared" si="40"/>
        <v>-1.2703723360493758E-2</v>
      </c>
      <c r="S69" s="2"/>
      <c r="T69" s="6">
        <v>274</v>
      </c>
      <c r="U69" s="2"/>
      <c r="V69" s="7">
        <f t="shared" si="41"/>
        <v>5.1445737889598199E-2</v>
      </c>
      <c r="W69" s="2"/>
      <c r="X69" s="6">
        <f t="shared" si="42"/>
        <v>-431.5</v>
      </c>
      <c r="Y69" s="2"/>
      <c r="Z69" s="7">
        <f t="shared" si="43"/>
        <v>-1.5748175182481752</v>
      </c>
    </row>
    <row r="70" spans="1:26" s="29" customFormat="1" outlineLevel="1" collapsed="1" x14ac:dyDescent="0.25">
      <c r="A70" s="28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SUM(OSRRefD22_11x_0)</f>
        <v>485.36</v>
      </c>
      <c r="E70" s="1"/>
      <c r="F70" s="5">
        <f t="shared" ref="F70:F74" si="44">IF(D$12=0,0,D70/D$12)</f>
        <v>3.9148439176185719E-2</v>
      </c>
      <c r="G70" s="1"/>
      <c r="H70" s="1">
        <f>SUM(OSRRefH22_11x_0)</f>
        <v>400</v>
      </c>
      <c r="I70" s="1"/>
      <c r="J70" s="5">
        <f t="shared" ref="J70:J74" si="45">IF(H$12=0,0,H70/H$12)</f>
        <v>7.5103266992114157E-2</v>
      </c>
      <c r="K70" s="1"/>
      <c r="L70" s="1">
        <f t="shared" ref="L70:L74" si="46">+D70-H70</f>
        <v>85.360000000000014</v>
      </c>
      <c r="M70" s="1"/>
      <c r="N70" s="5">
        <f t="shared" ref="N70:N74" si="47">IF(H70=0,0,L70/H70)</f>
        <v>0.21340000000000003</v>
      </c>
      <c r="O70" s="14"/>
      <c r="P70" s="1">
        <f>SUM(OSRRefP22_11x_0)</f>
        <v>929.66</v>
      </c>
      <c r="Q70" s="1"/>
      <c r="R70" s="5">
        <f t="shared" ref="R70:R74" si="48">IF(P$12=0,0,P70/P$12)</f>
        <v>7.4985037836930973E-2</v>
      </c>
      <c r="S70" s="1"/>
      <c r="T70" s="1">
        <f>SUM(OSRRefT22_11x_0)</f>
        <v>400</v>
      </c>
      <c r="U70" s="1"/>
      <c r="V70" s="5">
        <f t="shared" ref="V70:V74" si="49">IF(T$12=0,0,T70/T$12)</f>
        <v>7.5103266992114157E-2</v>
      </c>
      <c r="W70" s="1"/>
      <c r="X70" s="1">
        <f t="shared" ref="X70:X74" si="50">+P70-T70</f>
        <v>529.66</v>
      </c>
      <c r="Y70" s="1"/>
      <c r="Z70" s="5">
        <f t="shared" ref="Z70:Z74" si="51">IF(T70=0,0,X70/T70)</f>
        <v>1.3241499999999999</v>
      </c>
    </row>
    <row r="71" spans="1:26" s="24" customFormat="1" hidden="1" outlineLevel="2" x14ac:dyDescent="0.25">
      <c r="A71" s="27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44"/>
        <v>0</v>
      </c>
      <c r="G71" s="2"/>
      <c r="H71" s="6">
        <v>200</v>
      </c>
      <c r="I71" s="2"/>
      <c r="J71" s="7">
        <f t="shared" si="45"/>
        <v>3.7551633496057078E-2</v>
      </c>
      <c r="K71" s="2"/>
      <c r="L71" s="6">
        <f t="shared" si="46"/>
        <v>-200</v>
      </c>
      <c r="M71" s="2"/>
      <c r="N71" s="7">
        <f t="shared" si="47"/>
        <v>-1</v>
      </c>
      <c r="O71" s="11"/>
      <c r="P71" s="6">
        <v>444.3</v>
      </c>
      <c r="Q71" s="2"/>
      <c r="R71" s="7">
        <f t="shared" si="48"/>
        <v>3.5836598660745254E-2</v>
      </c>
      <c r="S71" s="2"/>
      <c r="T71" s="6">
        <v>200</v>
      </c>
      <c r="U71" s="2"/>
      <c r="V71" s="7">
        <f t="shared" si="49"/>
        <v>3.7551633496057078E-2</v>
      </c>
      <c r="W71" s="2"/>
      <c r="X71" s="6">
        <f t="shared" si="50"/>
        <v>244.3</v>
      </c>
      <c r="Y71" s="2"/>
      <c r="Z71" s="7">
        <f t="shared" si="51"/>
        <v>1.2215</v>
      </c>
    </row>
    <row r="72" spans="1:26" s="24" customFormat="1" hidden="1" outlineLevel="2" x14ac:dyDescent="0.25">
      <c r="A72" s="27"/>
      <c r="B72" s="11" t="str">
        <f>CONCATENATE("          ", "6241", " - ", "OFFICE EXPENSE")</f>
        <v xml:space="preserve">          6241 - OFFICE EXPENSE</v>
      </c>
      <c r="C72" s="11"/>
      <c r="D72" s="6">
        <v>225.24</v>
      </c>
      <c r="E72" s="2"/>
      <c r="F72" s="7">
        <f t="shared" si="44"/>
        <v>1.8167534283921361E-2</v>
      </c>
      <c r="G72" s="2"/>
      <c r="H72" s="6"/>
      <c r="I72" s="2"/>
      <c r="J72" s="7">
        <f t="shared" si="45"/>
        <v>0</v>
      </c>
      <c r="K72" s="2"/>
      <c r="L72" s="6">
        <f t="shared" si="46"/>
        <v>225.24</v>
      </c>
      <c r="M72" s="2"/>
      <c r="N72" s="7">
        <f t="shared" si="47"/>
        <v>0</v>
      </c>
      <c r="O72" s="11"/>
      <c r="P72" s="6">
        <v>225.24</v>
      </c>
      <c r="Q72" s="2"/>
      <c r="R72" s="7">
        <f t="shared" si="48"/>
        <v>1.8167534283921361E-2</v>
      </c>
      <c r="S72" s="2"/>
      <c r="T72" s="6"/>
      <c r="U72" s="2"/>
      <c r="V72" s="7">
        <f t="shared" si="49"/>
        <v>0</v>
      </c>
      <c r="W72" s="2"/>
      <c r="X72" s="6">
        <f t="shared" si="50"/>
        <v>225.24</v>
      </c>
      <c r="Y72" s="2"/>
      <c r="Z72" s="7">
        <f t="shared" si="51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>
        <v>260.12</v>
      </c>
      <c r="E73" s="2"/>
      <c r="F73" s="7">
        <f t="shared" si="44"/>
        <v>2.0980904892264361E-2</v>
      </c>
      <c r="G73" s="2"/>
      <c r="H73" s="6">
        <v>100</v>
      </c>
      <c r="I73" s="2"/>
      <c r="J73" s="7">
        <f t="shared" si="45"/>
        <v>1.8775816748028539E-2</v>
      </c>
      <c r="K73" s="2"/>
      <c r="L73" s="6">
        <f t="shared" si="46"/>
        <v>160.12</v>
      </c>
      <c r="M73" s="2"/>
      <c r="N73" s="7">
        <f t="shared" si="47"/>
        <v>1.6012</v>
      </c>
      <c r="O73" s="11"/>
      <c r="P73" s="6">
        <v>260.12</v>
      </c>
      <c r="Q73" s="2"/>
      <c r="R73" s="7">
        <f t="shared" si="48"/>
        <v>2.0980904892264361E-2</v>
      </c>
      <c r="S73" s="2"/>
      <c r="T73" s="6">
        <v>100</v>
      </c>
      <c r="U73" s="2"/>
      <c r="V73" s="7">
        <f t="shared" si="49"/>
        <v>1.8775816748028539E-2</v>
      </c>
      <c r="W73" s="2"/>
      <c r="X73" s="6">
        <f t="shared" si="50"/>
        <v>160.12</v>
      </c>
      <c r="Y73" s="2"/>
      <c r="Z73" s="7">
        <f t="shared" si="51"/>
        <v>1.6012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44"/>
        <v>0</v>
      </c>
      <c r="G74" s="2"/>
      <c r="H74" s="6">
        <v>100</v>
      </c>
      <c r="I74" s="2"/>
      <c r="J74" s="7">
        <f t="shared" si="45"/>
        <v>1.8775816748028539E-2</v>
      </c>
      <c r="K74" s="2"/>
      <c r="L74" s="6">
        <f t="shared" si="46"/>
        <v>-100</v>
      </c>
      <c r="M74" s="2"/>
      <c r="N74" s="7">
        <f t="shared" si="47"/>
        <v>-1</v>
      </c>
      <c r="O74" s="11"/>
      <c r="P74" s="6"/>
      <c r="Q74" s="2"/>
      <c r="R74" s="7">
        <f t="shared" si="48"/>
        <v>0</v>
      </c>
      <c r="S74" s="2"/>
      <c r="T74" s="6">
        <v>100</v>
      </c>
      <c r="U74" s="2"/>
      <c r="V74" s="7">
        <f t="shared" si="49"/>
        <v>1.8775816748028539E-2</v>
      </c>
      <c r="W74" s="2"/>
      <c r="X74" s="6">
        <f t="shared" si="50"/>
        <v>-100</v>
      </c>
      <c r="Y74" s="2"/>
      <c r="Z74" s="7">
        <f t="shared" si="51"/>
        <v>-1</v>
      </c>
    </row>
    <row r="75" spans="1:26" s="29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53</v>
      </c>
      <c r="E75" s="1"/>
      <c r="F75" s="5">
        <f t="shared" ref="F75:F77" si="52">IF(D$12=0,0,D75/D$12)</f>
        <v>4.2749037340074235E-3</v>
      </c>
      <c r="G75" s="1"/>
      <c r="H75" s="1">
        <f>SUM(OSRRefH22_12x_0)</f>
        <v>100</v>
      </c>
      <c r="I75" s="1"/>
      <c r="J75" s="5">
        <f t="shared" ref="J75:J77" si="53">IF(H$12=0,0,H75/H$12)</f>
        <v>1.8775816748028539E-2</v>
      </c>
      <c r="K75" s="1"/>
      <c r="L75" s="1">
        <f t="shared" ref="L75:L77" si="54">+D75-H75</f>
        <v>-47</v>
      </c>
      <c r="M75" s="1"/>
      <c r="N75" s="5">
        <f t="shared" ref="N75:N77" si="55">IF(H75=0,0,L75/H75)</f>
        <v>-0.47</v>
      </c>
      <c r="O75" s="14"/>
      <c r="P75" s="1">
        <f>SUM(OSRRefP22_12x_0)</f>
        <v>106</v>
      </c>
      <c r="Q75" s="1"/>
      <c r="R75" s="5">
        <f t="shared" ref="R75:R77" si="56">IF(P$12=0,0,P75/P$12)</f>
        <v>8.5498074680148469E-3</v>
      </c>
      <c r="S75" s="1"/>
      <c r="T75" s="1">
        <f>SUM(OSRRefT22_12x_0)</f>
        <v>200</v>
      </c>
      <c r="U75" s="1"/>
      <c r="V75" s="5">
        <f t="shared" ref="V75:V77" si="57">IF(T$12=0,0,T75/T$12)</f>
        <v>3.7551633496057078E-2</v>
      </c>
      <c r="W75" s="1"/>
      <c r="X75" s="1">
        <f t="shared" ref="X75:X77" si="58">+P75-T75</f>
        <v>-94</v>
      </c>
      <c r="Y75" s="1"/>
      <c r="Z75" s="5">
        <f t="shared" ref="Z75:Z77" si="59">IF(T75=0,0,X75/T75)</f>
        <v>-0.47</v>
      </c>
    </row>
    <row r="76" spans="1:26" s="24" customFormat="1" hidden="1" outlineLevel="2" x14ac:dyDescent="0.25">
      <c r="A76" s="27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52"/>
        <v>0</v>
      </c>
      <c r="G76" s="2"/>
      <c r="H76" s="6">
        <v>100</v>
      </c>
      <c r="I76" s="2"/>
      <c r="J76" s="7">
        <f t="shared" si="53"/>
        <v>1.8775816748028539E-2</v>
      </c>
      <c r="K76" s="2"/>
      <c r="L76" s="6">
        <f t="shared" si="54"/>
        <v>-100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200</v>
      </c>
      <c r="U76" s="2"/>
      <c r="V76" s="7">
        <f t="shared" si="57"/>
        <v>3.7551633496057078E-2</v>
      </c>
      <c r="W76" s="2"/>
      <c r="X76" s="6">
        <f t="shared" si="58"/>
        <v>-200</v>
      </c>
      <c r="Y76" s="2"/>
      <c r="Z76" s="7">
        <f t="shared" si="59"/>
        <v>-1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53</v>
      </c>
      <c r="E77" s="2"/>
      <c r="F77" s="7">
        <f t="shared" si="52"/>
        <v>4.2749037340074235E-3</v>
      </c>
      <c r="G77" s="2"/>
      <c r="H77" s="6"/>
      <c r="I77" s="2"/>
      <c r="J77" s="7">
        <f t="shared" si="53"/>
        <v>0</v>
      </c>
      <c r="K77" s="2"/>
      <c r="L77" s="6">
        <f t="shared" si="54"/>
        <v>53</v>
      </c>
      <c r="M77" s="2"/>
      <c r="N77" s="7">
        <f t="shared" si="55"/>
        <v>0</v>
      </c>
      <c r="O77" s="11"/>
      <c r="P77" s="6">
        <v>106</v>
      </c>
      <c r="Q77" s="2"/>
      <c r="R77" s="7">
        <f t="shared" si="56"/>
        <v>8.5498074680148469E-3</v>
      </c>
      <c r="S77" s="2"/>
      <c r="T77" s="6"/>
      <c r="U77" s="2"/>
      <c r="V77" s="7">
        <f t="shared" si="57"/>
        <v>0</v>
      </c>
      <c r="W77" s="2"/>
      <c r="X77" s="6">
        <f t="shared" si="58"/>
        <v>106</v>
      </c>
      <c r="Y77" s="2"/>
      <c r="Z77" s="7">
        <f t="shared" si="59"/>
        <v>0</v>
      </c>
    </row>
    <row r="78" spans="1:26" s="29" customFormat="1" outlineLevel="1" collapsed="1" x14ac:dyDescent="0.25">
      <c r="A78" s="28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60">IF(D$12=0,0,D78/D$12)</f>
        <v>0</v>
      </c>
      <c r="G78" s="1"/>
      <c r="H78" s="1">
        <f>SUM(OSRRefH22_13x_0)</f>
        <v>60</v>
      </c>
      <c r="I78" s="1"/>
      <c r="J78" s="5">
        <f t="shared" ref="J78:J79" si="61">IF(H$12=0,0,H78/H$12)</f>
        <v>1.1265490048817123E-2</v>
      </c>
      <c r="K78" s="1"/>
      <c r="L78" s="1">
        <f t="shared" ref="L78:L79" si="62">+D78-H78</f>
        <v>-60</v>
      </c>
      <c r="M78" s="1"/>
      <c r="N78" s="5">
        <f t="shared" ref="N78:N79" si="63">IF(H78=0,0,L78/H78)</f>
        <v>-1</v>
      </c>
      <c r="O78" s="14"/>
      <c r="P78" s="1">
        <f>SUM(OSRRefP22_13x_0)</f>
        <v>0</v>
      </c>
      <c r="Q78" s="1"/>
      <c r="R78" s="5">
        <f t="shared" ref="R78:R79" si="64">IF(P$12=0,0,P78/P$12)</f>
        <v>0</v>
      </c>
      <c r="S78" s="1"/>
      <c r="T78" s="1">
        <f>SUM(OSRRefT22_13x_0)</f>
        <v>60</v>
      </c>
      <c r="U78" s="1"/>
      <c r="V78" s="5">
        <f t="shared" ref="V78:V79" si="65">IF(T$12=0,0,T78/T$12)</f>
        <v>1.1265490048817123E-2</v>
      </c>
      <c r="W78" s="1"/>
      <c r="X78" s="1">
        <f t="shared" ref="X78:X79" si="66">+P78-T78</f>
        <v>-60</v>
      </c>
      <c r="Y78" s="1"/>
      <c r="Z78" s="5">
        <f t="shared" ref="Z78:Z79" si="67">IF(T78=0,0,X78/T78)</f>
        <v>-1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60"/>
        <v>0</v>
      </c>
      <c r="G79" s="2"/>
      <c r="H79" s="6">
        <v>60</v>
      </c>
      <c r="I79" s="2"/>
      <c r="J79" s="7">
        <f t="shared" si="61"/>
        <v>1.1265490048817123E-2</v>
      </c>
      <c r="K79" s="2"/>
      <c r="L79" s="6">
        <f t="shared" si="62"/>
        <v>-60</v>
      </c>
      <c r="M79" s="2"/>
      <c r="N79" s="7">
        <f t="shared" si="63"/>
        <v>-1</v>
      </c>
      <c r="O79" s="11"/>
      <c r="P79" s="6"/>
      <c r="Q79" s="2"/>
      <c r="R79" s="7">
        <f t="shared" si="64"/>
        <v>0</v>
      </c>
      <c r="S79" s="2"/>
      <c r="T79" s="6">
        <v>60</v>
      </c>
      <c r="U79" s="2"/>
      <c r="V79" s="7">
        <f t="shared" si="65"/>
        <v>1.1265490048817123E-2</v>
      </c>
      <c r="W79" s="2"/>
      <c r="X79" s="6">
        <f t="shared" si="66"/>
        <v>-60</v>
      </c>
      <c r="Y79" s="2"/>
      <c r="Z79" s="7">
        <f t="shared" si="67"/>
        <v>-1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2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2" customFormat="1" x14ac:dyDescent="0.25">
      <c r="A83" s="10"/>
      <c r="B83" s="26" t="s">
        <v>3</v>
      </c>
      <c r="C83" s="26"/>
      <c r="D83" s="21">
        <f>+D27-D29+D81</f>
        <v>-2088.7799999999997</v>
      </c>
      <c r="E83" s="13"/>
      <c r="F83" s="20">
        <f>IF(D$12=0,0,D83/D$12)</f>
        <v>-0.1684779890852835</v>
      </c>
      <c r="G83" s="13"/>
      <c r="H83" s="21">
        <f>+H27-H29+H81</f>
        <v>-6848.6869880000013</v>
      </c>
      <c r="I83" s="13"/>
      <c r="J83" s="20">
        <f>IF(H$12=0,0,H83/H$12)</f>
        <v>-1.2858969185129556</v>
      </c>
      <c r="K83" s="16"/>
      <c r="L83" s="21">
        <f>+D83-H83</f>
        <v>4759.9069880000015</v>
      </c>
      <c r="M83" s="16"/>
      <c r="N83" s="20">
        <f>IF(H83=0,0,L83/H83)</f>
        <v>-0.69501015250662246</v>
      </c>
      <c r="O83" s="25"/>
      <c r="P83" s="21">
        <f>+P27-P29+P81</f>
        <v>-3230.1799999999994</v>
      </c>
      <c r="Q83" s="13"/>
      <c r="R83" s="20">
        <f>IF(P$12=0,0,P83/P$12)</f>
        <v>-0.26054167063237921</v>
      </c>
      <c r="S83" s="13"/>
      <c r="T83" s="21">
        <f>+T27-T29+T81</f>
        <v>-15668.562987999998</v>
      </c>
      <c r="U83" s="13"/>
      <c r="V83" s="20">
        <f>IF(T$12=0,0,T83/T$12)</f>
        <v>-2.9419006736763045</v>
      </c>
      <c r="W83" s="16"/>
      <c r="X83" s="21">
        <f>+P83-T83</f>
        <v>12438.382987999998</v>
      </c>
      <c r="Y83" s="16"/>
      <c r="Z83" s="20">
        <f>IF(T83=0,0,X83/T83)</f>
        <v>-0.79384325145363477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x14ac:dyDescent="0.25">
      <c r="A85" s="52"/>
      <c r="B85" s="10" t="s">
        <v>14</v>
      </c>
      <c r="C85" s="10"/>
      <c r="D85" s="4">
        <v>2093.23</v>
      </c>
      <c r="E85" s="4"/>
      <c r="F85" s="12">
        <f>IF(D$12=0,0,D85/D$12)</f>
        <v>0.1688369196818181</v>
      </c>
      <c r="G85" s="4"/>
      <c r="H85" s="4">
        <v>656</v>
      </c>
      <c r="I85" s="4"/>
      <c r="J85" s="12">
        <f>IF(H$12=0,0,H85/H$12)</f>
        <v>0.12316935786706722</v>
      </c>
      <c r="K85" s="4"/>
      <c r="L85" s="4">
        <f>+D85-H85</f>
        <v>1437.23</v>
      </c>
      <c r="M85" s="4"/>
      <c r="N85" s="12">
        <f>IF(H85=0,0,L85/H85)</f>
        <v>2.1908993902439025</v>
      </c>
      <c r="O85" s="10"/>
      <c r="P85" s="4">
        <v>2093.23</v>
      </c>
      <c r="Q85" s="4"/>
      <c r="R85" s="12">
        <f>IF(P$12=0,0,P85/P$12)</f>
        <v>0.1688369196818181</v>
      </c>
      <c r="S85" s="4"/>
      <c r="T85" s="4">
        <v>3243</v>
      </c>
      <c r="U85" s="4"/>
      <c r="V85" s="12">
        <f>IF(T$12=0,0,T85/T$12)</f>
        <v>0.60889973713856549</v>
      </c>
      <c r="W85" s="4"/>
      <c r="X85" s="4">
        <f>+P85-T85</f>
        <v>-1149.77</v>
      </c>
      <c r="Y85" s="4"/>
      <c r="Z85" s="12">
        <f>IF(T85=0,0,X85/T85)</f>
        <v>-0.3545390070921986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2" customFormat="1" ht="15.75" thickBot="1" x14ac:dyDescent="0.3">
      <c r="A87" s="10"/>
      <c r="B87" s="26" t="s">
        <v>4</v>
      </c>
      <c r="C87" s="26"/>
      <c r="D87" s="33">
        <f>+D83-D85</f>
        <v>-4182.01</v>
      </c>
      <c r="E87" s="13"/>
      <c r="F87" s="31">
        <f>IF(D$12=0,0,D87/D$12)</f>
        <v>-0.33731490876710163</v>
      </c>
      <c r="G87" s="13"/>
      <c r="H87" s="33">
        <f>+H83-H85</f>
        <v>-7504.6869880000013</v>
      </c>
      <c r="I87" s="13"/>
      <c r="J87" s="31">
        <f>IF(H$12=0,0,H87/H$12)</f>
        <v>-1.4090662763800228</v>
      </c>
      <c r="K87" s="16"/>
      <c r="L87" s="33">
        <f>D87-H87</f>
        <v>3322.6769880000011</v>
      </c>
      <c r="M87" s="16"/>
      <c r="N87" s="31">
        <f>IF(H87=0,0,L87/H87)</f>
        <v>-0.44274691180497783</v>
      </c>
      <c r="O87" s="25"/>
      <c r="P87" s="33">
        <f>+P83-P85</f>
        <v>-5323.41</v>
      </c>
      <c r="Q87" s="13"/>
      <c r="R87" s="31">
        <f>IF(P$12=0,0,P87/P$12)</f>
        <v>-0.42937859031419734</v>
      </c>
      <c r="S87" s="13"/>
      <c r="T87" s="33">
        <f>+T83-T85</f>
        <v>-18911.562987999998</v>
      </c>
      <c r="U87" s="13"/>
      <c r="V87" s="31">
        <f>IF(T$12=0,0,T87/T$12)</f>
        <v>-3.5508004108148699</v>
      </c>
      <c r="W87" s="16"/>
      <c r="X87" s="33">
        <f>P87-T87</f>
        <v>13588.152987999998</v>
      </c>
      <c r="Y87" s="16"/>
      <c r="Z87" s="31">
        <f>IF(T87=0,0,X87/T87)</f>
        <v>-0.71851031015374689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2" customFormat="1" ht="15.75" thickBot="1" x14ac:dyDescent="0.3">
      <c r="A90" s="10"/>
      <c r="B90" s="26" t="s">
        <v>5</v>
      </c>
      <c r="C90" s="26"/>
      <c r="D90" s="32">
        <f>SUM(D87:D89)</f>
        <v>-4182.01</v>
      </c>
      <c r="E90" s="13"/>
      <c r="F90" s="35">
        <f>IF(D$12=0,0,D90/D$12)</f>
        <v>-0.33731490876710163</v>
      </c>
      <c r="G90" s="13"/>
      <c r="H90" s="32">
        <f>SUM(H87:H89)</f>
        <v>-7504.6869880000013</v>
      </c>
      <c r="I90" s="13"/>
      <c r="J90" s="35">
        <f>IF(H$12=0,0,H90/H$12)</f>
        <v>-1.4090662763800228</v>
      </c>
      <c r="K90" s="16"/>
      <c r="L90" s="32">
        <f>+D90-H90</f>
        <v>3322.6769880000011</v>
      </c>
      <c r="M90" s="16"/>
      <c r="N90" s="35">
        <f>IF(H90=0,0,L90/H90)</f>
        <v>-0.44274691180497783</v>
      </c>
      <c r="O90" s="25"/>
      <c r="P90" s="32">
        <f>SUM(P87:P89)</f>
        <v>-5323.41</v>
      </c>
      <c r="Q90" s="13"/>
      <c r="R90" s="35">
        <f>IF(P$12=0,0,P90/P$12)</f>
        <v>-0.42937859031419734</v>
      </c>
      <c r="S90" s="13"/>
      <c r="T90" s="32">
        <f>SUM(T87:T89)</f>
        <v>-18911.562987999998</v>
      </c>
      <c r="U90" s="13"/>
      <c r="V90" s="35">
        <f>IF(T$12=0,0,T90/T$12)</f>
        <v>-3.5508004108148699</v>
      </c>
      <c r="W90" s="16"/>
      <c r="X90" s="32">
        <f>+P90-T90</f>
        <v>13588.152987999998</v>
      </c>
      <c r="Y90" s="16"/>
      <c r="Z90" s="35">
        <f>IF(T90=0,0,X90/T90)</f>
        <v>-0.71851031015374689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9">
        <v>44113.689393252316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62" t="s">
        <v>314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3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1226108.5600000003</v>
      </c>
      <c r="E12" s="4"/>
      <c r="F12" s="12"/>
      <c r="G12" s="4"/>
      <c r="H12" s="4">
        <f>SUM(OSRRefH13x_0)</f>
        <v>1544465</v>
      </c>
      <c r="I12" s="4"/>
      <c r="J12" s="12"/>
      <c r="K12" s="4"/>
      <c r="L12" s="4">
        <f t="shared" ref="L12:L31" si="0">+D12-H12</f>
        <v>-318356.43999999971</v>
      </c>
      <c r="M12" s="4"/>
      <c r="N12" s="12">
        <f t="shared" ref="N12:N31" si="1">IF(H12=0,0,L12/H12)</f>
        <v>-0.20612732564350744</v>
      </c>
      <c r="O12" s="10"/>
      <c r="P12" s="4">
        <f>SUM(OSRRefP13x_0)</f>
        <v>1274147.1199999999</v>
      </c>
      <c r="Q12" s="4"/>
      <c r="R12" s="12"/>
      <c r="S12" s="4"/>
      <c r="T12" s="4">
        <f>SUM(OSRRefT13x_0)</f>
        <v>1613505</v>
      </c>
      <c r="U12" s="4"/>
      <c r="V12" s="12"/>
      <c r="W12" s="4"/>
      <c r="X12" s="4">
        <f t="shared" ref="X12:X31" si="2">+P12-T12</f>
        <v>-339357.88000000012</v>
      </c>
      <c r="Y12" s="4"/>
      <c r="Z12" s="12">
        <f t="shared" ref="Z12:Z31" si="3">IF(T12=0,0,X12/T12)</f>
        <v>-0.21032341393426121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-3258.19</f>
        <v>-3258.19</v>
      </c>
      <c r="E13" s="2"/>
      <c r="F13" s="23"/>
      <c r="G13" s="2"/>
      <c r="H13" s="2">
        <v>1544465</v>
      </c>
      <c r="I13" s="2"/>
      <c r="J13" s="23"/>
      <c r="K13" s="2"/>
      <c r="L13" s="2">
        <f t="shared" si="0"/>
        <v>-1547723.19</v>
      </c>
      <c r="M13" s="2"/>
      <c r="N13" s="23">
        <f t="shared" si="1"/>
        <v>-1.0021095913471656</v>
      </c>
      <c r="O13" s="11"/>
      <c r="P13" s="2">
        <f>-4028.26</f>
        <v>-4028.26</v>
      </c>
      <c r="Q13" s="2"/>
      <c r="R13" s="23"/>
      <c r="S13" s="2"/>
      <c r="T13" s="2">
        <v>1613505</v>
      </c>
      <c r="U13" s="2"/>
      <c r="V13" s="23"/>
      <c r="W13" s="2"/>
      <c r="X13" s="2">
        <f t="shared" si="2"/>
        <v>-1617533.26</v>
      </c>
      <c r="Y13" s="2"/>
      <c r="Z13" s="23">
        <f t="shared" si="3"/>
        <v>-1.0024965897223745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23"/>
      <c r="G14" s="2"/>
      <c r="H14" s="2"/>
      <c r="I14" s="2"/>
      <c r="J14" s="23"/>
      <c r="K14" s="2"/>
      <c r="L14" s="2">
        <f t="shared" si="0"/>
        <v>572249.47</v>
      </c>
      <c r="M14" s="2"/>
      <c r="N14" s="23">
        <f t="shared" si="1"/>
        <v>0</v>
      </c>
      <c r="O14" s="11"/>
      <c r="P14" s="2">
        <f>--584197.32</f>
        <v>584197.31999999995</v>
      </c>
      <c r="Q14" s="2"/>
      <c r="R14" s="23"/>
      <c r="S14" s="2"/>
      <c r="T14" s="2"/>
      <c r="U14" s="2"/>
      <c r="V14" s="23"/>
      <c r="W14" s="2"/>
      <c r="X14" s="2">
        <f t="shared" si="2"/>
        <v>584197.31999999995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23"/>
      <c r="G15" s="2"/>
      <c r="H15" s="2"/>
      <c r="I15" s="2"/>
      <c r="J15" s="23"/>
      <c r="K15" s="2"/>
      <c r="L15" s="2">
        <f t="shared" si="0"/>
        <v>265582.82</v>
      </c>
      <c r="M15" s="2"/>
      <c r="N15" s="23">
        <f t="shared" si="1"/>
        <v>0</v>
      </c>
      <c r="O15" s="11"/>
      <c r="P15" s="2">
        <f>--278612.16</f>
        <v>278612.15999999997</v>
      </c>
      <c r="Q15" s="2"/>
      <c r="R15" s="23"/>
      <c r="S15" s="2"/>
      <c r="T15" s="2"/>
      <c r="U15" s="2"/>
      <c r="V15" s="23"/>
      <c r="W15" s="2"/>
      <c r="X15" s="2">
        <f t="shared" si="2"/>
        <v>278612.15999999997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--150360.03</f>
        <v>150360.03</v>
      </c>
      <c r="E21" s="2"/>
      <c r="F21" s="23"/>
      <c r="G21" s="2"/>
      <c r="H21" s="2"/>
      <c r="I21" s="2"/>
      <c r="J21" s="23"/>
      <c r="K21" s="2"/>
      <c r="L21" s="2">
        <f t="shared" si="0"/>
        <v>150360.03</v>
      </c>
      <c r="M21" s="2"/>
      <c r="N21" s="23">
        <f t="shared" si="1"/>
        <v>0</v>
      </c>
      <c r="O21" s="11"/>
      <c r="P21" s="2">
        <f>--153398.33</f>
        <v>153398.32999999999</v>
      </c>
      <c r="Q21" s="2"/>
      <c r="R21" s="23"/>
      <c r="S21" s="2"/>
      <c r="T21" s="2"/>
      <c r="U21" s="2"/>
      <c r="V21" s="23"/>
      <c r="W21" s="2"/>
      <c r="X21" s="2">
        <f t="shared" si="2"/>
        <v>153398.32999999999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--41238.82</f>
        <v>41238.82</v>
      </c>
      <c r="E22" s="2"/>
      <c r="F22" s="23"/>
      <c r="G22" s="2"/>
      <c r="H22" s="2"/>
      <c r="I22" s="2"/>
      <c r="J22" s="23"/>
      <c r="K22" s="2"/>
      <c r="L22" s="2">
        <f t="shared" si="0"/>
        <v>41238.82</v>
      </c>
      <c r="M22" s="2"/>
      <c r="N22" s="23">
        <f t="shared" si="1"/>
        <v>0</v>
      </c>
      <c r="O22" s="11"/>
      <c r="P22" s="2">
        <f>--51580.68</f>
        <v>51580.68</v>
      </c>
      <c r="Q22" s="2"/>
      <c r="R22" s="23"/>
      <c r="S22" s="2"/>
      <c r="T22" s="2"/>
      <c r="U22" s="2"/>
      <c r="V22" s="23"/>
      <c r="W22" s="2"/>
      <c r="X22" s="2">
        <f t="shared" si="2"/>
        <v>51580.68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--17373.3</f>
        <v>17373.3</v>
      </c>
      <c r="E23" s="2"/>
      <c r="F23" s="23"/>
      <c r="G23" s="2"/>
      <c r="H23" s="2"/>
      <c r="I23" s="2"/>
      <c r="J23" s="23"/>
      <c r="K23" s="2"/>
      <c r="L23" s="2">
        <f t="shared" si="0"/>
        <v>17373.3</v>
      </c>
      <c r="M23" s="2"/>
      <c r="N23" s="23">
        <f t="shared" si="1"/>
        <v>0</v>
      </c>
      <c r="O23" s="11"/>
      <c r="P23" s="2">
        <f>--21563.74</f>
        <v>21563.74</v>
      </c>
      <c r="Q23" s="2"/>
      <c r="R23" s="23"/>
      <c r="S23" s="2"/>
      <c r="T23" s="2"/>
      <c r="U23" s="2"/>
      <c r="V23" s="23"/>
      <c r="W23" s="2"/>
      <c r="X23" s="2">
        <f t="shared" si="2"/>
        <v>21563.74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--205404.66</f>
        <v>205404.66</v>
      </c>
      <c r="E24" s="2"/>
      <c r="F24" s="23"/>
      <c r="G24" s="2"/>
      <c r="H24" s="2"/>
      <c r="I24" s="2"/>
      <c r="J24" s="23"/>
      <c r="K24" s="2"/>
      <c r="L24" s="2">
        <f t="shared" si="0"/>
        <v>205404.66</v>
      </c>
      <c r="M24" s="2"/>
      <c r="N24" s="23">
        <f t="shared" si="1"/>
        <v>0</v>
      </c>
      <c r="O24" s="11"/>
      <c r="P24" s="2">
        <f>--212890.18</f>
        <v>212890.18</v>
      </c>
      <c r="Q24" s="2"/>
      <c r="R24" s="23"/>
      <c r="S24" s="2"/>
      <c r="T24" s="2"/>
      <c r="U24" s="2"/>
      <c r="V24" s="23"/>
      <c r="W24" s="2"/>
      <c r="X24" s="2">
        <f t="shared" si="2"/>
        <v>212890.18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"4118", " - ", "NON-TAXABLE SALES-STUDY GUIDES")</f>
        <v xml:space="preserve">          4118 - NON-TAXABLE SALES-STUDY GUIDES</v>
      </c>
      <c r="C25" s="11"/>
      <c r="D25" s="2">
        <f>--47.87</f>
        <v>47.87</v>
      </c>
      <c r="E25" s="2"/>
      <c r="F25" s="23"/>
      <c r="G25" s="2"/>
      <c r="H25" s="2"/>
      <c r="I25" s="2"/>
      <c r="J25" s="23"/>
      <c r="K25" s="2"/>
      <c r="L25" s="2">
        <f t="shared" si="0"/>
        <v>47.87</v>
      </c>
      <c r="M25" s="2"/>
      <c r="N25" s="23">
        <f t="shared" si="1"/>
        <v>0</v>
      </c>
      <c r="O25" s="11"/>
      <c r="P25" s="2">
        <f>--101.83</f>
        <v>101.83</v>
      </c>
      <c r="Q25" s="2"/>
      <c r="R25" s="23"/>
      <c r="S25" s="2"/>
      <c r="T25" s="2"/>
      <c r="U25" s="2"/>
      <c r="V25" s="23"/>
      <c r="W25" s="2"/>
      <c r="X25" s="2">
        <f t="shared" si="2"/>
        <v>101.83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"4201", " - ", "SALES RETURN TAXABLE-NEW TEXT")</f>
        <v xml:space="preserve">          4201 - SALES RETURN TAXABLE-NEW TEXT</v>
      </c>
      <c r="C26" s="11"/>
      <c r="D26" s="2">
        <f>-18222.39</f>
        <v>-18222.39</v>
      </c>
      <c r="E26" s="2"/>
      <c r="F26" s="23"/>
      <c r="G26" s="2"/>
      <c r="H26" s="2"/>
      <c r="I26" s="2"/>
      <c r="J26" s="23"/>
      <c r="K26" s="2"/>
      <c r="L26" s="2">
        <f t="shared" si="0"/>
        <v>-18222.39</v>
      </c>
      <c r="M26" s="2"/>
      <c r="N26" s="23">
        <f t="shared" si="1"/>
        <v>0</v>
      </c>
      <c r="O26" s="11"/>
      <c r="P26" s="2">
        <f>-18855.79</f>
        <v>-18855.79</v>
      </c>
      <c r="Q26" s="2"/>
      <c r="R26" s="23"/>
      <c r="S26" s="2"/>
      <c r="T26" s="2"/>
      <c r="U26" s="2"/>
      <c r="V26" s="23"/>
      <c r="W26" s="2"/>
      <c r="X26" s="2">
        <f t="shared" si="2"/>
        <v>-18855.79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"4202", " - ", "SALES RETURN TAXABLE-USED TEXT")</f>
        <v xml:space="preserve">          4202 - SALES RETURN TAXABLE-USED TEXT</v>
      </c>
      <c r="C27" s="11"/>
      <c r="D27" s="2">
        <f>-8869.4</f>
        <v>-8869.4</v>
      </c>
      <c r="E27" s="2"/>
      <c r="F27" s="23"/>
      <c r="G27" s="2"/>
      <c r="H27" s="2"/>
      <c r="I27" s="2"/>
      <c r="J27" s="23"/>
      <c r="K27" s="2"/>
      <c r="L27" s="2">
        <f t="shared" si="0"/>
        <v>-8869.4</v>
      </c>
      <c r="M27" s="2"/>
      <c r="N27" s="23">
        <f t="shared" si="1"/>
        <v>0</v>
      </c>
      <c r="O27" s="11"/>
      <c r="P27" s="2">
        <f>-9047.75</f>
        <v>-9047.75</v>
      </c>
      <c r="Q27" s="2"/>
      <c r="R27" s="23"/>
      <c r="S27" s="2"/>
      <c r="T27" s="2"/>
      <c r="U27" s="2"/>
      <c r="V27" s="23"/>
      <c r="W27" s="2"/>
      <c r="X27" s="2">
        <f t="shared" si="2"/>
        <v>-9047.75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"4204", " - ", "SALES RETURN TAXABLE-DIGITAL T")</f>
        <v xml:space="preserve">          4204 - SALES RETURN TAXABLE-DIGITAL T</v>
      </c>
      <c r="C28" s="11"/>
      <c r="D28" s="2">
        <f>-1141.08</f>
        <v>-1141.08</v>
      </c>
      <c r="E28" s="2"/>
      <c r="F28" s="23"/>
      <c r="G28" s="2"/>
      <c r="H28" s="2"/>
      <c r="I28" s="2"/>
      <c r="J28" s="23"/>
      <c r="K28" s="2"/>
      <c r="L28" s="2">
        <f t="shared" si="0"/>
        <v>-1141.08</v>
      </c>
      <c r="M28" s="2"/>
      <c r="N28" s="23">
        <f t="shared" si="1"/>
        <v>0</v>
      </c>
      <c r="O28" s="11"/>
      <c r="P28" s="2">
        <f>-1141.08</f>
        <v>-1141.08</v>
      </c>
      <c r="Q28" s="2"/>
      <c r="R28" s="23"/>
      <c r="S28" s="2"/>
      <c r="T28" s="2"/>
      <c r="U28" s="2"/>
      <c r="V28" s="23"/>
      <c r="W28" s="2"/>
      <c r="X28" s="2">
        <f t="shared" si="2"/>
        <v>-1141.08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"4301", " - ", "SALES RETURN NON TAXABLE-NEW T")</f>
        <v xml:space="preserve">          4301 - SALES RETURN NON TAXABLE-NEW T</v>
      </c>
      <c r="C29" s="11"/>
      <c r="D29" s="2">
        <f>-20.25</f>
        <v>-20.25</v>
      </c>
      <c r="E29" s="2"/>
      <c r="F29" s="23"/>
      <c r="G29" s="2"/>
      <c r="H29" s="2"/>
      <c r="I29" s="2"/>
      <c r="J29" s="23"/>
      <c r="K29" s="2"/>
      <c r="L29" s="2">
        <f t="shared" si="0"/>
        <v>-20.25</v>
      </c>
      <c r="M29" s="2"/>
      <c r="N29" s="23">
        <f t="shared" si="1"/>
        <v>0</v>
      </c>
      <c r="O29" s="11"/>
      <c r="P29" s="2">
        <f>-20.25</f>
        <v>-20.25</v>
      </c>
      <c r="Q29" s="2"/>
      <c r="R29" s="23"/>
      <c r="S29" s="2"/>
      <c r="T29" s="2"/>
      <c r="U29" s="2"/>
      <c r="V29" s="23"/>
      <c r="W29" s="2"/>
      <c r="X29" s="2">
        <f t="shared" si="2"/>
        <v>-20.25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"4302", " - ", "SALES RETURN NON TAXABLE-TEXT")</f>
        <v xml:space="preserve">          4302 - SALES RETURN NON TAXABLE-TEXT</v>
      </c>
      <c r="C30" s="11"/>
      <c r="D30" s="2">
        <f>-346.17</f>
        <v>-346.17</v>
      </c>
      <c r="E30" s="2"/>
      <c r="F30" s="23"/>
      <c r="G30" s="2"/>
      <c r="H30" s="2"/>
      <c r="I30" s="2"/>
      <c r="J30" s="23"/>
      <c r="K30" s="2"/>
      <c r="L30" s="2">
        <f t="shared" si="0"/>
        <v>-346.17</v>
      </c>
      <c r="M30" s="2"/>
      <c r="N30" s="23">
        <f t="shared" si="1"/>
        <v>0</v>
      </c>
      <c r="O30" s="11"/>
      <c r="P30" s="2">
        <f>-409.84</f>
        <v>-409.84</v>
      </c>
      <c r="Q30" s="2"/>
      <c r="R30" s="23"/>
      <c r="S30" s="2"/>
      <c r="T30" s="2"/>
      <c r="U30" s="2"/>
      <c r="V30" s="23"/>
      <c r="W30" s="2"/>
      <c r="X30" s="2">
        <f t="shared" si="2"/>
        <v>-409.84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"4304", " - ", "SALES RETURN NON TAXABLE-DIGIT")</f>
        <v xml:space="preserve">          4304 - SALES RETURN NON TAXABLE-DIGIT</v>
      </c>
      <c r="C31" s="11"/>
      <c r="D31" s="2">
        <f>-5500.68</f>
        <v>-5500.68</v>
      </c>
      <c r="E31" s="2"/>
      <c r="F31" s="23"/>
      <c r="G31" s="2"/>
      <c r="H31" s="2"/>
      <c r="I31" s="2"/>
      <c r="J31" s="23"/>
      <c r="K31" s="2"/>
      <c r="L31" s="2">
        <f t="shared" si="0"/>
        <v>-5500.68</v>
      </c>
      <c r="M31" s="2"/>
      <c r="N31" s="23">
        <f t="shared" si="1"/>
        <v>0</v>
      </c>
      <c r="O31" s="11"/>
      <c r="P31" s="2">
        <f>-5952.73</f>
        <v>-5952.73</v>
      </c>
      <c r="Q31" s="2"/>
      <c r="R31" s="23"/>
      <c r="S31" s="2"/>
      <c r="T31" s="2"/>
      <c r="U31" s="2"/>
      <c r="V31" s="23"/>
      <c r="W31" s="2"/>
      <c r="X31" s="2">
        <f t="shared" si="2"/>
        <v>-5952.73</v>
      </c>
      <c r="Y31" s="2"/>
      <c r="Z31" s="23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collapsed="1" x14ac:dyDescent="0.25">
      <c r="A33" s="10"/>
      <c r="B33" s="25" t="s">
        <v>8</v>
      </c>
      <c r="C33" s="10"/>
      <c r="D33" s="4">
        <f>SUM(OSRRefD16x_0)</f>
        <v>892362.06000000017</v>
      </c>
      <c r="E33" s="4"/>
      <c r="F33" s="12">
        <f t="shared" ref="F33:F44" si="4">IF(D$12=0,0,D33/D$12)</f>
        <v>0.72780020392321543</v>
      </c>
      <c r="G33" s="4"/>
      <c r="H33" s="4">
        <f>SUM(OSRRefH16x_0)</f>
        <v>1121251</v>
      </c>
      <c r="I33" s="4"/>
      <c r="J33" s="12">
        <f t="shared" ref="J33:J44" si="5">IF(H$12=0,0,H33/H$12)</f>
        <v>0.72598019378878775</v>
      </c>
      <c r="K33" s="4"/>
      <c r="L33" s="4">
        <f t="shared" ref="L33:L44" si="6">+D33-H33</f>
        <v>-228888.93999999983</v>
      </c>
      <c r="M33" s="4"/>
      <c r="N33" s="12">
        <f t="shared" ref="N33:N44" si="7">IF(H33=0,0,L33/H33)</f>
        <v>-0.20413711113747041</v>
      </c>
      <c r="O33" s="10"/>
      <c r="P33" s="4">
        <f>SUM(OSRRefP16x_0)</f>
        <v>923179.34000000008</v>
      </c>
      <c r="Q33" s="4"/>
      <c r="R33" s="12">
        <f t="shared" ref="R33:R44" si="8">IF(P$12=0,0,P33/P$12)</f>
        <v>0.72454689533811467</v>
      </c>
      <c r="S33" s="4"/>
      <c r="T33" s="4">
        <f>SUM(OSRRefT16x_0)</f>
        <v>1171584</v>
      </c>
      <c r="U33" s="4"/>
      <c r="V33" s="12">
        <f t="shared" ref="V33:V44" si="9">IF(T$12=0,0,T33/T$12)</f>
        <v>0.72611116792324781</v>
      </c>
      <c r="W33" s="4"/>
      <c r="X33" s="4">
        <f t="shared" ref="X33:X44" si="10">+P33-T33</f>
        <v>-248404.65999999992</v>
      </c>
      <c r="Y33" s="4"/>
      <c r="Z33" s="12">
        <f t="shared" ref="Z33:Z44" si="11">IF(T33=0,0,X33/T33)</f>
        <v>-0.21202462648858292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3">
        <f t="shared" si="4"/>
        <v>0</v>
      </c>
      <c r="G34" s="2"/>
      <c r="H34" s="2">
        <v>1121251</v>
      </c>
      <c r="I34" s="2"/>
      <c r="J34" s="23">
        <f t="shared" si="5"/>
        <v>0.72598019378878775</v>
      </c>
      <c r="K34" s="2"/>
      <c r="L34" s="2">
        <f t="shared" si="6"/>
        <v>-1121251</v>
      </c>
      <c r="M34" s="2"/>
      <c r="N34" s="23">
        <f t="shared" si="7"/>
        <v>-1</v>
      </c>
      <c r="O34" s="11"/>
      <c r="P34" s="2"/>
      <c r="Q34" s="2"/>
      <c r="R34" s="23">
        <f t="shared" si="8"/>
        <v>0</v>
      </c>
      <c r="S34" s="2"/>
      <c r="T34" s="2">
        <v>1171584</v>
      </c>
      <c r="U34" s="2"/>
      <c r="V34" s="23">
        <f t="shared" si="9"/>
        <v>0.72611116792324781</v>
      </c>
      <c r="W34" s="2"/>
      <c r="X34" s="2">
        <f t="shared" si="10"/>
        <v>-1171584</v>
      </c>
      <c r="Y34" s="2"/>
      <c r="Z34" s="23">
        <f t="shared" si="11"/>
        <v>-1</v>
      </c>
    </row>
    <row r="35" spans="1:26" s="24" customFormat="1" hidden="1" outlineLevel="1" x14ac:dyDescent="0.25">
      <c r="A35" s="51"/>
      <c r="B35" s="11" t="str">
        <f>CONCATENATE("          ", "5001", " - ", "PURCHASES @ COST-NEW TEXT")</f>
        <v xml:space="preserve">          5001 - PURCHASES @ COST-NEW TEXT</v>
      </c>
      <c r="C35" s="11"/>
      <c r="D35" s="2">
        <v>538222.14</v>
      </c>
      <c r="E35" s="2"/>
      <c r="F35" s="23">
        <f t="shared" si="4"/>
        <v>0.43896776970548179</v>
      </c>
      <c r="G35" s="2"/>
      <c r="H35" s="2"/>
      <c r="I35" s="2"/>
      <c r="J35" s="23">
        <f t="shared" si="5"/>
        <v>0</v>
      </c>
      <c r="K35" s="2"/>
      <c r="L35" s="2">
        <f t="shared" si="6"/>
        <v>538222.14</v>
      </c>
      <c r="M35" s="2"/>
      <c r="N35" s="23">
        <f t="shared" si="7"/>
        <v>0</v>
      </c>
      <c r="O35" s="11"/>
      <c r="P35" s="2">
        <v>691332.77</v>
      </c>
      <c r="Q35" s="2"/>
      <c r="R35" s="23">
        <f t="shared" si="8"/>
        <v>0.54258472914807521</v>
      </c>
      <c r="S35" s="2"/>
      <c r="T35" s="2"/>
      <c r="U35" s="2"/>
      <c r="V35" s="23">
        <f t="shared" si="9"/>
        <v>0</v>
      </c>
      <c r="W35" s="2"/>
      <c r="X35" s="2">
        <f t="shared" si="10"/>
        <v>691332.77</v>
      </c>
      <c r="Y35" s="2"/>
      <c r="Z35" s="23">
        <f t="shared" si="11"/>
        <v>0</v>
      </c>
    </row>
    <row r="36" spans="1:26" s="24" customFormat="1" hidden="1" outlineLevel="1" x14ac:dyDescent="0.25">
      <c r="A36" s="51"/>
      <c r="B36" s="11" t="str">
        <f>CONCATENATE("          ", "5002", " - ", "PURCHASES @ COST-USED TEXT")</f>
        <v xml:space="preserve">          5002 - PURCHASES @ COST-USED TEXT</v>
      </c>
      <c r="C36" s="11"/>
      <c r="D36" s="2">
        <v>128042.67</v>
      </c>
      <c r="E36" s="2"/>
      <c r="F36" s="23">
        <f t="shared" si="4"/>
        <v>0.10443012484962994</v>
      </c>
      <c r="G36" s="2"/>
      <c r="H36" s="2"/>
      <c r="I36" s="2"/>
      <c r="J36" s="23">
        <f t="shared" si="5"/>
        <v>0</v>
      </c>
      <c r="K36" s="2"/>
      <c r="L36" s="2">
        <f t="shared" si="6"/>
        <v>128042.67</v>
      </c>
      <c r="M36" s="2"/>
      <c r="N36" s="23">
        <f t="shared" si="7"/>
        <v>0</v>
      </c>
      <c r="O36" s="11"/>
      <c r="P36" s="2">
        <v>188367.52</v>
      </c>
      <c r="Q36" s="2"/>
      <c r="R36" s="23">
        <f t="shared" si="8"/>
        <v>0.14783812406215696</v>
      </c>
      <c r="S36" s="2"/>
      <c r="T36" s="2"/>
      <c r="U36" s="2"/>
      <c r="V36" s="23">
        <f t="shared" si="9"/>
        <v>0</v>
      </c>
      <c r="W36" s="2"/>
      <c r="X36" s="2">
        <f t="shared" si="10"/>
        <v>188367.52</v>
      </c>
      <c r="Y36" s="2"/>
      <c r="Z36" s="23">
        <f t="shared" si="11"/>
        <v>0</v>
      </c>
    </row>
    <row r="37" spans="1:26" s="24" customFormat="1" hidden="1" outlineLevel="1" x14ac:dyDescent="0.25">
      <c r="A37" s="51"/>
      <c r="B37" s="11" t="str">
        <f>CONCATENATE("          ", "5003", " - ", "PURCHASES @ COST-RENTAL TEXT")</f>
        <v xml:space="preserve">          5003 - PURCHASES @ COST-RENTAL TEXT</v>
      </c>
      <c r="C37" s="11"/>
      <c r="D37" s="2">
        <v>58.8</v>
      </c>
      <c r="E37" s="2"/>
      <c r="F37" s="23">
        <f t="shared" si="4"/>
        <v>4.795660181998891E-5</v>
      </c>
      <c r="G37" s="2"/>
      <c r="H37" s="2"/>
      <c r="I37" s="2"/>
      <c r="J37" s="23">
        <f t="shared" si="5"/>
        <v>0</v>
      </c>
      <c r="K37" s="2"/>
      <c r="L37" s="2">
        <f t="shared" si="6"/>
        <v>58.8</v>
      </c>
      <c r="M37" s="2"/>
      <c r="N37" s="23">
        <f t="shared" si="7"/>
        <v>0</v>
      </c>
      <c r="O37" s="11"/>
      <c r="P37" s="2">
        <v>-11867.84</v>
      </c>
      <c r="Q37" s="2"/>
      <c r="R37" s="23">
        <f t="shared" si="8"/>
        <v>-9.3143404036419297E-3</v>
      </c>
      <c r="S37" s="2"/>
      <c r="T37" s="2"/>
      <c r="U37" s="2"/>
      <c r="V37" s="23">
        <f t="shared" si="9"/>
        <v>0</v>
      </c>
      <c r="W37" s="2"/>
      <c r="X37" s="2">
        <f t="shared" si="10"/>
        <v>-11867.84</v>
      </c>
      <c r="Y37" s="2"/>
      <c r="Z37" s="23">
        <f t="shared" si="11"/>
        <v>0</v>
      </c>
    </row>
    <row r="38" spans="1:26" s="24" customFormat="1" hidden="1" outlineLevel="1" x14ac:dyDescent="0.25">
      <c r="A38" s="51"/>
      <c r="B38" s="11" t="str">
        <f>CONCATENATE("          ", "5004", " - ", "PURCHASES @ COST-DIGITAL TEXT")</f>
        <v xml:space="preserve">          5004 - PURCHASES @ COST-DIGITAL TEXT</v>
      </c>
      <c r="C38" s="11"/>
      <c r="D38" s="2">
        <v>117504.49</v>
      </c>
      <c r="E38" s="2"/>
      <c r="F38" s="23">
        <f t="shared" si="4"/>
        <v>9.5835306785559002E-2</v>
      </c>
      <c r="G38" s="2"/>
      <c r="H38" s="2"/>
      <c r="I38" s="2"/>
      <c r="J38" s="23">
        <f t="shared" si="5"/>
        <v>0</v>
      </c>
      <c r="K38" s="2"/>
      <c r="L38" s="2">
        <f t="shared" si="6"/>
        <v>117504.49</v>
      </c>
      <c r="M38" s="2"/>
      <c r="N38" s="23">
        <f t="shared" si="7"/>
        <v>0</v>
      </c>
      <c r="O38" s="11"/>
      <c r="P38" s="2">
        <v>122429.97</v>
      </c>
      <c r="Q38" s="2"/>
      <c r="R38" s="23">
        <f t="shared" si="8"/>
        <v>9.6087781448660356E-2</v>
      </c>
      <c r="S38" s="2"/>
      <c r="T38" s="2"/>
      <c r="U38" s="2"/>
      <c r="V38" s="23">
        <f t="shared" si="9"/>
        <v>0</v>
      </c>
      <c r="W38" s="2"/>
      <c r="X38" s="2">
        <f t="shared" si="10"/>
        <v>122429.97</v>
      </c>
      <c r="Y38" s="2"/>
      <c r="Z38" s="23">
        <f t="shared" si="11"/>
        <v>0</v>
      </c>
    </row>
    <row r="39" spans="1:26" s="24" customFormat="1" hidden="1" outlineLevel="1" x14ac:dyDescent="0.25">
      <c r="A39" s="51"/>
      <c r="B39" s="11" t="str">
        <f>CONCATENATE("          ", "5013", " - ", "PURCHASES @ COST-TRADE BOOKS")</f>
        <v xml:space="preserve">          5013 - PURCHASES @ COST-TRADE BOOKS</v>
      </c>
      <c r="C39" s="11"/>
      <c r="D39" s="2"/>
      <c r="E39" s="2"/>
      <c r="F39" s="23">
        <f t="shared" si="4"/>
        <v>0</v>
      </c>
      <c r="G39" s="2"/>
      <c r="H39" s="2"/>
      <c r="I39" s="2"/>
      <c r="J39" s="23">
        <f t="shared" si="5"/>
        <v>0</v>
      </c>
      <c r="K39" s="2"/>
      <c r="L39" s="2">
        <f t="shared" si="6"/>
        <v>0</v>
      </c>
      <c r="M39" s="2"/>
      <c r="N39" s="23">
        <f t="shared" si="7"/>
        <v>0</v>
      </c>
      <c r="O39" s="11"/>
      <c r="P39" s="2">
        <v>108.54</v>
      </c>
      <c r="Q39" s="2"/>
      <c r="R39" s="23">
        <f t="shared" si="8"/>
        <v>8.5186395115816781E-5</v>
      </c>
      <c r="S39" s="2"/>
      <c r="T39" s="2"/>
      <c r="U39" s="2"/>
      <c r="V39" s="23">
        <f t="shared" si="9"/>
        <v>0</v>
      </c>
      <c r="W39" s="2"/>
      <c r="X39" s="2">
        <f t="shared" si="10"/>
        <v>108.54</v>
      </c>
      <c r="Y39" s="2"/>
      <c r="Z39" s="23">
        <f t="shared" si="11"/>
        <v>0</v>
      </c>
    </row>
    <row r="40" spans="1:26" s="24" customFormat="1" hidden="1" outlineLevel="1" x14ac:dyDescent="0.25">
      <c r="A40" s="51"/>
      <c r="B40" s="11" t="str">
        <f>CONCATENATE("          ", "5014", " - ", "PURCHASES @ COST-REMAINDERS")</f>
        <v xml:space="preserve">          5014 - PURCHASES @ COST-REMAINDERS</v>
      </c>
      <c r="C40" s="11"/>
      <c r="D40" s="2"/>
      <c r="E40" s="2"/>
      <c r="F40" s="23">
        <f t="shared" si="4"/>
        <v>0</v>
      </c>
      <c r="G40" s="2"/>
      <c r="H40" s="2"/>
      <c r="I40" s="2"/>
      <c r="J40" s="23">
        <f t="shared" si="5"/>
        <v>0</v>
      </c>
      <c r="K40" s="2"/>
      <c r="L40" s="2">
        <f t="shared" si="6"/>
        <v>0</v>
      </c>
      <c r="M40" s="2"/>
      <c r="N40" s="23">
        <f t="shared" si="7"/>
        <v>0</v>
      </c>
      <c r="O40" s="11"/>
      <c r="P40" s="2">
        <v>-12.51</v>
      </c>
      <c r="Q40" s="2"/>
      <c r="R40" s="23">
        <f t="shared" si="8"/>
        <v>-9.8183324387218345E-6</v>
      </c>
      <c r="S40" s="2"/>
      <c r="T40" s="2"/>
      <c r="U40" s="2"/>
      <c r="V40" s="23">
        <f t="shared" si="9"/>
        <v>0</v>
      </c>
      <c r="W40" s="2"/>
      <c r="X40" s="2">
        <f t="shared" si="10"/>
        <v>-12.51</v>
      </c>
      <c r="Y40" s="2"/>
      <c r="Z40" s="23">
        <f t="shared" si="11"/>
        <v>0</v>
      </c>
    </row>
    <row r="41" spans="1:26" s="24" customFormat="1" hidden="1" outlineLevel="1" x14ac:dyDescent="0.25">
      <c r="A41" s="51"/>
      <c r="B41" s="11" t="str">
        <f>CONCATENATE("          ", "5200", " - ", "PURCHASES OFFSET")</f>
        <v xml:space="preserve">          5200 - PURCHASES OFFSET</v>
      </c>
      <c r="C41" s="11"/>
      <c r="D41" s="2">
        <v>-478701.25999999995</v>
      </c>
      <c r="E41" s="2"/>
      <c r="F41" s="23">
        <f t="shared" si="4"/>
        <v>-0.39042322647188749</v>
      </c>
      <c r="G41" s="2"/>
      <c r="H41" s="2"/>
      <c r="I41" s="2"/>
      <c r="J41" s="23">
        <f t="shared" si="5"/>
        <v>0</v>
      </c>
      <c r="K41" s="2"/>
      <c r="L41" s="2">
        <f t="shared" si="6"/>
        <v>-478701.25999999995</v>
      </c>
      <c r="M41" s="2"/>
      <c r="N41" s="23">
        <f t="shared" si="7"/>
        <v>0</v>
      </c>
      <c r="O41" s="11"/>
      <c r="P41" s="2">
        <v>-681352.94000000006</v>
      </c>
      <c r="Q41" s="2"/>
      <c r="R41" s="23">
        <f t="shared" si="8"/>
        <v>-0.5347521721039562</v>
      </c>
      <c r="S41" s="2"/>
      <c r="T41" s="2"/>
      <c r="U41" s="2"/>
      <c r="V41" s="23">
        <f t="shared" si="9"/>
        <v>0</v>
      </c>
      <c r="W41" s="2"/>
      <c r="X41" s="2">
        <f t="shared" si="10"/>
        <v>-681352.94000000006</v>
      </c>
      <c r="Y41" s="2"/>
      <c r="Z41" s="23">
        <f t="shared" si="11"/>
        <v>0</v>
      </c>
    </row>
    <row r="42" spans="1:26" s="24" customFormat="1" hidden="1" outlineLevel="1" x14ac:dyDescent="0.25">
      <c r="A42" s="51"/>
      <c r="B42" s="11" t="str">
        <f>CONCATENATE("          ", "5300", " - ", "COG$ OFFSET")</f>
        <v xml:space="preserve">          5300 - COG$ OFFSET</v>
      </c>
      <c r="C42" s="11"/>
      <c r="D42" s="2">
        <v>581368</v>
      </c>
      <c r="E42" s="2"/>
      <c r="F42" s="23">
        <f t="shared" si="4"/>
        <v>0.47415703549121285</v>
      </c>
      <c r="G42" s="2"/>
      <c r="H42" s="2"/>
      <c r="I42" s="2"/>
      <c r="J42" s="23">
        <f t="shared" si="5"/>
        <v>0</v>
      </c>
      <c r="K42" s="2"/>
      <c r="L42" s="2">
        <f t="shared" si="6"/>
        <v>581368</v>
      </c>
      <c r="M42" s="2"/>
      <c r="N42" s="23">
        <f t="shared" si="7"/>
        <v>0</v>
      </c>
      <c r="O42" s="11"/>
      <c r="P42" s="2">
        <v>607456</v>
      </c>
      <c r="Q42" s="2"/>
      <c r="R42" s="23">
        <f t="shared" si="8"/>
        <v>0.47675499199809834</v>
      </c>
      <c r="S42" s="2"/>
      <c r="T42" s="2"/>
      <c r="U42" s="2"/>
      <c r="V42" s="23">
        <f t="shared" si="9"/>
        <v>0</v>
      </c>
      <c r="W42" s="2"/>
      <c r="X42" s="2">
        <f t="shared" si="10"/>
        <v>607456</v>
      </c>
      <c r="Y42" s="2"/>
      <c r="Z42" s="23">
        <f t="shared" si="11"/>
        <v>0</v>
      </c>
    </row>
    <row r="43" spans="1:26" s="24" customFormat="1" hidden="1" outlineLevel="1" x14ac:dyDescent="0.25">
      <c r="A43" s="51"/>
      <c r="B43" s="11" t="str">
        <f>CONCATENATE("          ", "5501", " - ", "FREIGHT-IN-NEW TEXT")</f>
        <v xml:space="preserve">          5501 - FREIGHT-IN-NEW TEXT</v>
      </c>
      <c r="C43" s="11"/>
      <c r="D43" s="2">
        <v>4680.5600000000004</v>
      </c>
      <c r="E43" s="2"/>
      <c r="F43" s="23">
        <f t="shared" si="4"/>
        <v>3.8174107519484239E-3</v>
      </c>
      <c r="G43" s="2"/>
      <c r="H43" s="2"/>
      <c r="I43" s="2"/>
      <c r="J43" s="23">
        <f t="shared" si="5"/>
        <v>0</v>
      </c>
      <c r="K43" s="2"/>
      <c r="L43" s="2">
        <f t="shared" si="6"/>
        <v>4680.5600000000004</v>
      </c>
      <c r="M43" s="2"/>
      <c r="N43" s="23">
        <f t="shared" si="7"/>
        <v>0</v>
      </c>
      <c r="O43" s="11"/>
      <c r="P43" s="2">
        <v>5483.28</v>
      </c>
      <c r="Q43" s="2"/>
      <c r="R43" s="23">
        <f t="shared" si="8"/>
        <v>4.3034904791842254E-3</v>
      </c>
      <c r="S43" s="2"/>
      <c r="T43" s="2"/>
      <c r="U43" s="2"/>
      <c r="V43" s="23">
        <f t="shared" si="9"/>
        <v>0</v>
      </c>
      <c r="W43" s="2"/>
      <c r="X43" s="2">
        <f t="shared" si="10"/>
        <v>5483.28</v>
      </c>
      <c r="Y43" s="2"/>
      <c r="Z43" s="23">
        <f t="shared" si="11"/>
        <v>0</v>
      </c>
    </row>
    <row r="44" spans="1:26" s="24" customFormat="1" hidden="1" outlineLevel="1" x14ac:dyDescent="0.25">
      <c r="A44" s="51"/>
      <c r="B44" s="11" t="str">
        <f>CONCATENATE("          ", "5502", " - ", "FREIGHT-IN-USED TEXT")</f>
        <v xml:space="preserve">          5502 - FREIGHT-IN-USED TEXT</v>
      </c>
      <c r="C44" s="11"/>
      <c r="D44" s="2">
        <v>1186.6600000000001</v>
      </c>
      <c r="E44" s="2"/>
      <c r="F44" s="23">
        <f t="shared" si="4"/>
        <v>9.6782620945081712E-4</v>
      </c>
      <c r="G44" s="2"/>
      <c r="H44" s="2"/>
      <c r="I44" s="2"/>
      <c r="J44" s="23">
        <f t="shared" si="5"/>
        <v>0</v>
      </c>
      <c r="K44" s="2"/>
      <c r="L44" s="2">
        <f t="shared" si="6"/>
        <v>1186.6600000000001</v>
      </c>
      <c r="M44" s="2"/>
      <c r="N44" s="23">
        <f t="shared" si="7"/>
        <v>0</v>
      </c>
      <c r="O44" s="11"/>
      <c r="P44" s="2">
        <v>1234.55</v>
      </c>
      <c r="Q44" s="2"/>
      <c r="R44" s="23">
        <f t="shared" si="8"/>
        <v>9.6892264686043478E-4</v>
      </c>
      <c r="S44" s="2"/>
      <c r="T44" s="2"/>
      <c r="U44" s="2"/>
      <c r="V44" s="23">
        <f t="shared" si="9"/>
        <v>0</v>
      </c>
      <c r="W44" s="2"/>
      <c r="X44" s="2">
        <f t="shared" si="10"/>
        <v>1234.55</v>
      </c>
      <c r="Y44" s="2"/>
      <c r="Z44" s="23">
        <f t="shared" si="11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2" customFormat="1" x14ac:dyDescent="0.25">
      <c r="A46" s="10"/>
      <c r="B46" s="26" t="s">
        <v>6</v>
      </c>
      <c r="C46" s="26"/>
      <c r="D46" s="21">
        <f>D12-D33</f>
        <v>333746.50000000012</v>
      </c>
      <c r="E46" s="13"/>
      <c r="F46" s="20">
        <f>IF(D$12=0,0,D46/D$12)</f>
        <v>0.27219979607678463</v>
      </c>
      <c r="G46" s="13"/>
      <c r="H46" s="21">
        <f>H12-H33</f>
        <v>423214</v>
      </c>
      <c r="I46" s="13"/>
      <c r="J46" s="20">
        <f>IF(H$12=0,0,H46/H$12)</f>
        <v>0.2740198062112123</v>
      </c>
      <c r="K46" s="16"/>
      <c r="L46" s="21">
        <f>+D46-H46</f>
        <v>-89467.499999999884</v>
      </c>
      <c r="M46" s="16"/>
      <c r="N46" s="20">
        <f>IF(H46=0,0,L46/H46)</f>
        <v>-0.21140014271739566</v>
      </c>
      <c r="O46" s="25"/>
      <c r="P46" s="21">
        <f>P12-P33</f>
        <v>350967.7799999998</v>
      </c>
      <c r="Q46" s="13"/>
      <c r="R46" s="20">
        <f>IF(P$12=0,0,P46/P$12)</f>
        <v>0.27545310466188538</v>
      </c>
      <c r="S46" s="13"/>
      <c r="T46" s="21">
        <f>T12-T33</f>
        <v>441921</v>
      </c>
      <c r="U46" s="13"/>
      <c r="V46" s="20">
        <f>IF(T$12=0,0,T46/T$12)</f>
        <v>0.27388883207675219</v>
      </c>
      <c r="W46" s="16"/>
      <c r="X46" s="21">
        <f>+P46-T46</f>
        <v>-90953.220000000205</v>
      </c>
      <c r="Y46" s="16"/>
      <c r="Z46" s="20">
        <f>IF(T46=0,0,X46/T46)</f>
        <v>-0.20581330147243559</v>
      </c>
    </row>
    <row r="47" spans="1:26" x14ac:dyDescent="0.25">
      <c r="A47" s="9"/>
      <c r="B47" s="10"/>
      <c r="C47" s="9"/>
      <c r="D47" s="1"/>
      <c r="E47" s="1"/>
      <c r="F47" s="5"/>
      <c r="G47" s="1"/>
      <c r="H47" s="1"/>
      <c r="I47" s="1"/>
      <c r="J47" s="5"/>
      <c r="K47" s="1"/>
      <c r="L47" s="1"/>
      <c r="M47" s="1"/>
      <c r="N47" s="5"/>
      <c r="O47" s="36"/>
      <c r="P47" s="1"/>
      <c r="Q47" s="1"/>
      <c r="R47" s="5"/>
      <c r="S47" s="1"/>
      <c r="T47" s="1"/>
      <c r="U47" s="1"/>
      <c r="V47" s="5"/>
      <c r="W47" s="1"/>
      <c r="X47" s="1"/>
      <c r="Y47" s="1"/>
      <c r="Z47" s="5"/>
    </row>
    <row r="48" spans="1:26" s="22" customFormat="1" x14ac:dyDescent="0.25">
      <c r="A48" s="10"/>
      <c r="B48" s="25" t="s">
        <v>9</v>
      </c>
      <c r="C48" s="10"/>
      <c r="D48" s="19">
        <f>SUM(OSRRefD22x_0)</f>
        <v>48390.540000000008</v>
      </c>
      <c r="E48" s="19"/>
      <c r="F48" s="30">
        <f t="shared" ref="F48:F59" si="12">IF(D$12=0,0,D48/D$12)</f>
        <v>3.9466766303303515E-2</v>
      </c>
      <c r="G48" s="19"/>
      <c r="H48" s="19">
        <f>SUM(OSRRefH22x_0)</f>
        <v>70967.438548861523</v>
      </c>
      <c r="I48" s="19"/>
      <c r="J48" s="30">
        <f t="shared" ref="J48:J59" si="13">IF(H$12=0,0,H48/H$12)</f>
        <v>4.5949528509135217E-2</v>
      </c>
      <c r="K48" s="4"/>
      <c r="L48" s="19">
        <f t="shared" ref="L48:L59" si="14">+D48-H48</f>
        <v>-22576.898548861514</v>
      </c>
      <c r="M48" s="4"/>
      <c r="N48" s="30">
        <f t="shared" ref="N48:N59" si="15">IF(H48=0,0,L48/H48)</f>
        <v>-0.31813038501195418</v>
      </c>
      <c r="O48" s="10"/>
      <c r="P48" s="19">
        <f>SUM(OSRRefP22x_0)</f>
        <v>88534.650000000023</v>
      </c>
      <c r="Q48" s="19"/>
      <c r="R48" s="30">
        <f t="shared" ref="R48:R59" si="16">IF(P$12=0,0,P48/P$12)</f>
        <v>6.9485421746273715E-2</v>
      </c>
      <c r="S48" s="19"/>
      <c r="T48" s="19">
        <f>SUM(OSRRefT22x_0)</f>
        <v>116755.83266618848</v>
      </c>
      <c r="U48" s="19"/>
      <c r="V48" s="30">
        <f t="shared" ref="V48:V59" si="17">IF(T$12=0,0,T48/T$12)</f>
        <v>7.2361618133311323E-2</v>
      </c>
      <c r="W48" s="4"/>
      <c r="X48" s="19">
        <f t="shared" ref="X48:X59" si="18">+P48-T48</f>
        <v>-28221.182666188455</v>
      </c>
      <c r="Y48" s="4"/>
      <c r="Z48" s="30">
        <f t="shared" ref="Z48:Z59" si="19">IF(T48=0,0,X48/T48)</f>
        <v>-0.2417111164533802</v>
      </c>
    </row>
    <row r="49" spans="1:26" s="29" customFormat="1" outlineLevel="1" collapsed="1" x14ac:dyDescent="0.25">
      <c r="A49" s="28"/>
      <c r="B49" s="14" t="str">
        <f>CONCATENATE("     ","*Benefits                                         ")</f>
        <v xml:space="preserve">     *Benefits                                         </v>
      </c>
      <c r="C49" s="14"/>
      <c r="D49" s="1">
        <f>SUM(OSRRefD22_0x_0)</f>
        <v>10659.73</v>
      </c>
      <c r="E49" s="1"/>
      <c r="F49" s="5">
        <f t="shared" si="12"/>
        <v>8.6939528421528973E-3</v>
      </c>
      <c r="G49" s="1"/>
      <c r="H49" s="1">
        <f>SUM(OSRRefH22_0x_0)</f>
        <v>13379.936405169226</v>
      </c>
      <c r="I49" s="1"/>
      <c r="J49" s="5">
        <f t="shared" si="13"/>
        <v>8.6631528750533201E-3</v>
      </c>
      <c r="K49" s="1"/>
      <c r="L49" s="1">
        <f t="shared" si="14"/>
        <v>-2720.2064051692269</v>
      </c>
      <c r="M49" s="1"/>
      <c r="N49" s="5">
        <f t="shared" si="15"/>
        <v>-0.20330488298272464</v>
      </c>
      <c r="O49" s="14"/>
      <c r="P49" s="1">
        <f>SUM(OSRRefP22_0x_0)</f>
        <v>21814.160000000003</v>
      </c>
      <c r="Q49" s="1"/>
      <c r="R49" s="5">
        <f t="shared" si="16"/>
        <v>1.7120597502115774E-2</v>
      </c>
      <c r="S49" s="1"/>
      <c r="T49" s="1">
        <f>SUM(OSRRefT22_0x_0)</f>
        <v>26410.577842880772</v>
      </c>
      <c r="U49" s="1"/>
      <c r="V49" s="5">
        <f t="shared" si="17"/>
        <v>1.6368451193445804E-2</v>
      </c>
      <c r="W49" s="1"/>
      <c r="X49" s="1">
        <f t="shared" si="18"/>
        <v>-4596.4178428807681</v>
      </c>
      <c r="Y49" s="1"/>
      <c r="Z49" s="5">
        <f t="shared" si="19"/>
        <v>-0.17403700404532335</v>
      </c>
    </row>
    <row r="50" spans="1:26" s="24" customFormat="1" hidden="1" outlineLevel="2" x14ac:dyDescent="0.25">
      <c r="A50" s="27"/>
      <c r="B50" s="11" t="str">
        <f>CONCATENATE("          ", "6111", " - ", "F.I.C.A.")</f>
        <v xml:space="preserve">          6111 - F.I.C.A.</v>
      </c>
      <c r="C50" s="11"/>
      <c r="D50" s="6">
        <v>2291.5500000000002</v>
      </c>
      <c r="E50" s="2"/>
      <c r="F50" s="7">
        <f t="shared" si="12"/>
        <v>1.8689617500101292E-3</v>
      </c>
      <c r="G50" s="2"/>
      <c r="H50" s="6">
        <v>2487.63378793846</v>
      </c>
      <c r="I50" s="2"/>
      <c r="J50" s="7">
        <f t="shared" si="13"/>
        <v>1.6106766990112824E-3</v>
      </c>
      <c r="K50" s="2"/>
      <c r="L50" s="6">
        <f t="shared" si="14"/>
        <v>-196.08378793845986</v>
      </c>
      <c r="M50" s="2"/>
      <c r="N50" s="7">
        <f t="shared" si="15"/>
        <v>-7.882341399654226E-2</v>
      </c>
      <c r="O50" s="11"/>
      <c r="P50" s="6">
        <v>4094</v>
      </c>
      <c r="Q50" s="2"/>
      <c r="R50" s="7">
        <f t="shared" si="16"/>
        <v>3.2131297365409423E-3</v>
      </c>
      <c r="S50" s="2"/>
      <c r="T50" s="6">
        <v>4553.2589916115403</v>
      </c>
      <c r="U50" s="2"/>
      <c r="V50" s="7">
        <f t="shared" si="17"/>
        <v>2.8219676986507886E-3</v>
      </c>
      <c r="W50" s="2"/>
      <c r="X50" s="6">
        <f t="shared" si="18"/>
        <v>-459.2589916115403</v>
      </c>
      <c r="Y50" s="2"/>
      <c r="Z50" s="7">
        <f t="shared" si="19"/>
        <v>-0.10086379721813149</v>
      </c>
    </row>
    <row r="51" spans="1:26" s="24" customFormat="1" hidden="1" outlineLevel="2" x14ac:dyDescent="0.25">
      <c r="A51" s="27"/>
      <c r="B51" s="11" t="str">
        <f>CONCATENATE("          ", "6112", " - ", "COMPENSATION INSURANCE")</f>
        <v xml:space="preserve">          6112 - COMPENSATION INSURANCE</v>
      </c>
      <c r="C51" s="11"/>
      <c r="D51" s="6">
        <v>190.93</v>
      </c>
      <c r="E51" s="2"/>
      <c r="F51" s="7">
        <f t="shared" si="12"/>
        <v>1.557203058756885E-4</v>
      </c>
      <c r="G51" s="2"/>
      <c r="H51" s="6">
        <v>918.47581846153901</v>
      </c>
      <c r="I51" s="2"/>
      <c r="J51" s="7">
        <f t="shared" si="13"/>
        <v>5.9468865818360344E-4</v>
      </c>
      <c r="K51" s="2"/>
      <c r="L51" s="6">
        <f t="shared" si="14"/>
        <v>-727.54581846153906</v>
      </c>
      <c r="M51" s="2"/>
      <c r="N51" s="7">
        <f t="shared" si="15"/>
        <v>-0.79212299751145265</v>
      </c>
      <c r="O51" s="11"/>
      <c r="P51" s="6">
        <v>338.35</v>
      </c>
      <c r="Q51" s="2"/>
      <c r="R51" s="7">
        <f t="shared" si="16"/>
        <v>2.6555018230547825E-4</v>
      </c>
      <c r="S51" s="2"/>
      <c r="T51" s="6">
        <v>1485.825529038462</v>
      </c>
      <c r="U51" s="2"/>
      <c r="V51" s="7">
        <f t="shared" si="17"/>
        <v>9.2086825205900326E-4</v>
      </c>
      <c r="W51" s="2"/>
      <c r="X51" s="6">
        <f t="shared" si="18"/>
        <v>-1147.4755290384619</v>
      </c>
      <c r="Y51" s="2"/>
      <c r="Z51" s="7">
        <f t="shared" si="19"/>
        <v>-0.77228147357317234</v>
      </c>
    </row>
    <row r="52" spans="1:26" s="24" customFormat="1" hidden="1" outlineLevel="2" x14ac:dyDescent="0.25">
      <c r="A52" s="27"/>
      <c r="B52" s="11" t="str">
        <f>CONCATENATE("          ", "6113", " - ", "GROUP INSURANCE")</f>
        <v xml:space="preserve">          6113 - GROUP INSURANCE</v>
      </c>
      <c r="C52" s="11"/>
      <c r="D52" s="6">
        <v>4114</v>
      </c>
      <c r="E52" s="2"/>
      <c r="F52" s="7">
        <f t="shared" si="12"/>
        <v>3.3553309504665715E-3</v>
      </c>
      <c r="G52" s="2"/>
      <c r="H52" s="6">
        <v>4662.6923076923094</v>
      </c>
      <c r="I52" s="2"/>
      <c r="J52" s="7">
        <f t="shared" si="13"/>
        <v>3.0189692273326425E-3</v>
      </c>
      <c r="K52" s="2"/>
      <c r="L52" s="6">
        <f t="shared" si="14"/>
        <v>-548.69230769230944</v>
      </c>
      <c r="M52" s="2"/>
      <c r="N52" s="7">
        <f t="shared" si="15"/>
        <v>-0.11767714262146367</v>
      </c>
      <c r="O52" s="11"/>
      <c r="P52" s="6">
        <v>8362.2099999999991</v>
      </c>
      <c r="Q52" s="2"/>
      <c r="R52" s="7">
        <f t="shared" si="16"/>
        <v>6.5629862272105592E-3</v>
      </c>
      <c r="S52" s="2"/>
      <c r="T52" s="6">
        <v>9632.3076923076896</v>
      </c>
      <c r="U52" s="2"/>
      <c r="V52" s="7">
        <f t="shared" si="17"/>
        <v>5.9698034355689569E-3</v>
      </c>
      <c r="W52" s="2"/>
      <c r="X52" s="6">
        <f t="shared" si="18"/>
        <v>-1270.0976923076905</v>
      </c>
      <c r="Y52" s="2"/>
      <c r="Z52" s="7">
        <f t="shared" si="19"/>
        <v>-0.13185808976201871</v>
      </c>
    </row>
    <row r="53" spans="1:26" s="24" customFormat="1" hidden="1" outlineLevel="2" x14ac:dyDescent="0.25">
      <c r="A53" s="27"/>
      <c r="B53" s="11" t="str">
        <f>CONCATENATE("          ", "6114", " - ", "STATE UNEMPLOYMENT INSURANCE")</f>
        <v xml:space="preserve">          6114 - STATE UNEMPLOYMENT INSURANCE</v>
      </c>
      <c r="C53" s="11"/>
      <c r="D53" s="6">
        <v>71.989999999999995</v>
      </c>
      <c r="E53" s="2"/>
      <c r="F53" s="7">
        <f t="shared" si="12"/>
        <v>5.871421369083336E-5</v>
      </c>
      <c r="G53" s="2"/>
      <c r="H53" s="6">
        <v>129.083088</v>
      </c>
      <c r="I53" s="2"/>
      <c r="J53" s="7">
        <f t="shared" si="13"/>
        <v>8.3577865474452321E-5</v>
      </c>
      <c r="K53" s="2"/>
      <c r="L53" s="6">
        <f t="shared" si="14"/>
        <v>-57.093088000000009</v>
      </c>
      <c r="M53" s="2"/>
      <c r="N53" s="7">
        <f t="shared" si="15"/>
        <v>-0.44229719698059911</v>
      </c>
      <c r="O53" s="11"/>
      <c r="P53" s="6">
        <v>133.41999999999999</v>
      </c>
      <c r="Q53" s="2"/>
      <c r="R53" s="7">
        <f t="shared" si="16"/>
        <v>1.0471318257188385E-4</v>
      </c>
      <c r="S53" s="2"/>
      <c r="T53" s="6">
        <v>208.81872300000001</v>
      </c>
      <c r="U53" s="2"/>
      <c r="V53" s="7">
        <f t="shared" si="17"/>
        <v>1.2941932191099501E-4</v>
      </c>
      <c r="W53" s="2"/>
      <c r="X53" s="6">
        <f t="shared" si="18"/>
        <v>-75.398723000000018</v>
      </c>
      <c r="Y53" s="2"/>
      <c r="Z53" s="7">
        <f t="shared" si="19"/>
        <v>-0.36107261799508283</v>
      </c>
    </row>
    <row r="54" spans="1:26" s="24" customFormat="1" hidden="1" outlineLevel="2" x14ac:dyDescent="0.25">
      <c r="A54" s="27"/>
      <c r="B54" s="11" t="str">
        <f>CONCATENATE("          ", "6115", " - ", "P.E.R.S.")</f>
        <v xml:space="preserve">          6115 - P.E.R.S.</v>
      </c>
      <c r="C54" s="11"/>
      <c r="D54" s="6">
        <v>1480.2</v>
      </c>
      <c r="E54" s="2"/>
      <c r="F54" s="7">
        <f t="shared" si="12"/>
        <v>1.2072340478562515E-3</v>
      </c>
      <c r="G54" s="2"/>
      <c r="H54" s="6">
        <v>1268.5379723076899</v>
      </c>
      <c r="I54" s="2"/>
      <c r="J54" s="7">
        <f t="shared" si="13"/>
        <v>8.2134459007338458E-4</v>
      </c>
      <c r="K54" s="2"/>
      <c r="L54" s="6">
        <f t="shared" si="14"/>
        <v>211.66202769231018</v>
      </c>
      <c r="M54" s="2"/>
      <c r="N54" s="7">
        <f t="shared" si="15"/>
        <v>0.16685509800487908</v>
      </c>
      <c r="O54" s="11"/>
      <c r="P54" s="6">
        <v>3700.52</v>
      </c>
      <c r="Q54" s="2"/>
      <c r="R54" s="7">
        <f t="shared" si="16"/>
        <v>2.9043113953748137E-3</v>
      </c>
      <c r="S54" s="2"/>
      <c r="T54" s="6">
        <v>2854.2104376923098</v>
      </c>
      <c r="U54" s="2"/>
      <c r="V54" s="7">
        <f t="shared" si="17"/>
        <v>1.7689504759466565E-3</v>
      </c>
      <c r="W54" s="2"/>
      <c r="X54" s="6">
        <f t="shared" si="18"/>
        <v>846.30956230769016</v>
      </c>
      <c r="Y54" s="2"/>
      <c r="Z54" s="7">
        <f t="shared" si="19"/>
        <v>0.29651267164167106</v>
      </c>
    </row>
    <row r="55" spans="1:26" s="24" customFormat="1" hidden="1" outlineLevel="2" x14ac:dyDescent="0.25">
      <c r="A55" s="27"/>
      <c r="B55" s="11" t="str">
        <f>CONCATENATE("          ", "6116", " - ", "EDUCATIONAL BENEFITS")</f>
        <v xml:space="preserve">          6116 - EDUCATIONAL BENEFITS</v>
      </c>
      <c r="C55" s="11"/>
      <c r="D55" s="6"/>
      <c r="E55" s="2"/>
      <c r="F55" s="7">
        <f t="shared" si="12"/>
        <v>0</v>
      </c>
      <c r="G55" s="2"/>
      <c r="H55" s="6">
        <v>0</v>
      </c>
      <c r="I55" s="2"/>
      <c r="J55" s="7">
        <f t="shared" si="13"/>
        <v>0</v>
      </c>
      <c r="K55" s="2"/>
      <c r="L55" s="6">
        <f t="shared" si="14"/>
        <v>0</v>
      </c>
      <c r="M55" s="2"/>
      <c r="N55" s="7">
        <f t="shared" si="15"/>
        <v>0</v>
      </c>
      <c r="O55" s="11"/>
      <c r="P55" s="6"/>
      <c r="Q55" s="2"/>
      <c r="R55" s="7">
        <f t="shared" si="16"/>
        <v>0</v>
      </c>
      <c r="S55" s="2"/>
      <c r="T55" s="6">
        <v>0</v>
      </c>
      <c r="U55" s="2"/>
      <c r="V55" s="7">
        <f t="shared" si="17"/>
        <v>0</v>
      </c>
      <c r="W55" s="2"/>
      <c r="X55" s="6">
        <f t="shared" si="18"/>
        <v>0</v>
      </c>
      <c r="Y55" s="2"/>
      <c r="Z55" s="7">
        <f t="shared" si="19"/>
        <v>0</v>
      </c>
    </row>
    <row r="56" spans="1:26" s="24" customFormat="1" hidden="1" outlineLevel="2" x14ac:dyDescent="0.25">
      <c r="A56" s="27"/>
      <c r="B56" s="11" t="str">
        <f>CONCATENATE("          ", "6117", " - ", "RETIREMENT STAFF HOURLY")</f>
        <v xml:space="preserve">          6117 - RETIREMENT STAFF HOURLY</v>
      </c>
      <c r="C56" s="11"/>
      <c r="D56" s="6">
        <v>255.65</v>
      </c>
      <c r="E56" s="2"/>
      <c r="F56" s="7">
        <f t="shared" si="12"/>
        <v>2.0850519141632934E-4</v>
      </c>
      <c r="G56" s="2"/>
      <c r="H56" s="6"/>
      <c r="I56" s="2"/>
      <c r="J56" s="7">
        <f t="shared" si="13"/>
        <v>0</v>
      </c>
      <c r="K56" s="2"/>
      <c r="L56" s="6">
        <f t="shared" si="14"/>
        <v>255.65</v>
      </c>
      <c r="M56" s="2"/>
      <c r="N56" s="7">
        <f t="shared" si="15"/>
        <v>0</v>
      </c>
      <c r="O56" s="11"/>
      <c r="P56" s="6">
        <v>588.79</v>
      </c>
      <c r="Q56" s="2"/>
      <c r="R56" s="7">
        <f t="shared" si="16"/>
        <v>4.6210519237370332E-4</v>
      </c>
      <c r="S56" s="2"/>
      <c r="T56" s="6"/>
      <c r="U56" s="2"/>
      <c r="V56" s="7">
        <f t="shared" si="17"/>
        <v>0</v>
      </c>
      <c r="W56" s="2"/>
      <c r="X56" s="6">
        <f t="shared" si="18"/>
        <v>588.79</v>
      </c>
      <c r="Y56" s="2"/>
      <c r="Z56" s="7">
        <f t="shared" si="19"/>
        <v>0</v>
      </c>
    </row>
    <row r="57" spans="1:26" s="24" customFormat="1" hidden="1" outlineLevel="2" x14ac:dyDescent="0.25">
      <c r="A57" s="27"/>
      <c r="B57" s="11" t="str">
        <f>CONCATENATE("          ", "6118", " - ", "VACATION")</f>
        <v xml:space="preserve">          6118 - VACATION</v>
      </c>
      <c r="C57" s="11"/>
      <c r="D57" s="6">
        <v>942.5</v>
      </c>
      <c r="E57" s="2"/>
      <c r="F57" s="7">
        <f t="shared" si="12"/>
        <v>7.6869212951257739E-4</v>
      </c>
      <c r="G57" s="2"/>
      <c r="H57" s="6">
        <v>1346.2077200000001</v>
      </c>
      <c r="I57" s="2"/>
      <c r="J57" s="7">
        <f t="shared" si="13"/>
        <v>8.7163368545094906E-4</v>
      </c>
      <c r="K57" s="2"/>
      <c r="L57" s="6">
        <f t="shared" si="14"/>
        <v>-403.70772000000011</v>
      </c>
      <c r="M57" s="2"/>
      <c r="N57" s="7">
        <f t="shared" si="15"/>
        <v>-0.29988516185303116</v>
      </c>
      <c r="O57" s="11"/>
      <c r="P57" s="6">
        <v>1910.31</v>
      </c>
      <c r="Q57" s="2"/>
      <c r="R57" s="7">
        <f t="shared" si="16"/>
        <v>1.4992852630707199E-3</v>
      </c>
      <c r="S57" s="2"/>
      <c r="T57" s="6">
        <v>3028.9673699999998</v>
      </c>
      <c r="U57" s="2"/>
      <c r="V57" s="7">
        <f t="shared" si="17"/>
        <v>1.8772593639313172E-3</v>
      </c>
      <c r="W57" s="2"/>
      <c r="X57" s="6">
        <f t="shared" si="18"/>
        <v>-1118.6573699999999</v>
      </c>
      <c r="Y57" s="2"/>
      <c r="Z57" s="7">
        <f t="shared" si="19"/>
        <v>-0.36931971637581557</v>
      </c>
    </row>
    <row r="58" spans="1:26" s="24" customFormat="1" hidden="1" outlineLevel="2" x14ac:dyDescent="0.25">
      <c r="A58" s="27"/>
      <c r="B58" s="11" t="str">
        <f>CONCATENATE("          ", "6119", " - ", "SICK LEAVE")</f>
        <v xml:space="preserve">          6119 - SICK LEAVE</v>
      </c>
      <c r="C58" s="11"/>
      <c r="D58" s="6">
        <v>944.6</v>
      </c>
      <c r="E58" s="2"/>
      <c r="F58" s="7">
        <f t="shared" si="12"/>
        <v>7.7040486529186272E-4</v>
      </c>
      <c r="G58" s="2"/>
      <c r="H58" s="6">
        <v>1817.30571076923</v>
      </c>
      <c r="I58" s="2"/>
      <c r="J58" s="7">
        <f t="shared" si="13"/>
        <v>1.1766571018244053E-3</v>
      </c>
      <c r="K58" s="2"/>
      <c r="L58" s="6">
        <f t="shared" si="14"/>
        <v>-872.70571076923</v>
      </c>
      <c r="M58" s="2"/>
      <c r="N58" s="7">
        <f t="shared" si="15"/>
        <v>-0.48021953906689191</v>
      </c>
      <c r="O58" s="11"/>
      <c r="P58" s="6">
        <v>1889.2</v>
      </c>
      <c r="Q58" s="2"/>
      <c r="R58" s="7">
        <f t="shared" si="16"/>
        <v>1.4827173176045795E-3</v>
      </c>
      <c r="S58" s="2"/>
      <c r="T58" s="6">
        <v>3147.1890992307699</v>
      </c>
      <c r="U58" s="2"/>
      <c r="V58" s="7">
        <f t="shared" si="17"/>
        <v>1.9505294989670128E-3</v>
      </c>
      <c r="W58" s="2"/>
      <c r="X58" s="6">
        <f t="shared" si="18"/>
        <v>-1257.9890992307699</v>
      </c>
      <c r="Y58" s="2"/>
      <c r="Z58" s="7">
        <f t="shared" si="19"/>
        <v>-0.39971830721523699</v>
      </c>
    </row>
    <row r="59" spans="1:26" s="24" customFormat="1" hidden="1" outlineLevel="2" x14ac:dyDescent="0.25">
      <c r="A59" s="27"/>
      <c r="B59" s="11" t="str">
        <f>CONCATENATE("          ", "6156", " - ", "EMPLOYEE MEALS")</f>
        <v xml:space="preserve">          6156 - EMPLOYEE MEALS</v>
      </c>
      <c r="C59" s="11"/>
      <c r="D59" s="6">
        <v>368.31</v>
      </c>
      <c r="E59" s="2"/>
      <c r="F59" s="7">
        <f t="shared" si="12"/>
        <v>3.0038938803265503E-4</v>
      </c>
      <c r="G59" s="2"/>
      <c r="H59" s="6">
        <v>750</v>
      </c>
      <c r="I59" s="2"/>
      <c r="J59" s="7">
        <f t="shared" si="13"/>
        <v>4.8560504770260251E-4</v>
      </c>
      <c r="K59" s="2"/>
      <c r="L59" s="6">
        <f t="shared" si="14"/>
        <v>-381.69</v>
      </c>
      <c r="M59" s="2"/>
      <c r="N59" s="7">
        <f t="shared" si="15"/>
        <v>-0.50892000000000004</v>
      </c>
      <c r="O59" s="11"/>
      <c r="P59" s="6">
        <v>797.36</v>
      </c>
      <c r="Q59" s="2"/>
      <c r="R59" s="7">
        <f t="shared" si="16"/>
        <v>6.2579900506308885E-4</v>
      </c>
      <c r="S59" s="2"/>
      <c r="T59" s="6">
        <v>1500</v>
      </c>
      <c r="U59" s="2"/>
      <c r="V59" s="7">
        <f t="shared" si="17"/>
        <v>9.2965314641107403E-4</v>
      </c>
      <c r="W59" s="2"/>
      <c r="X59" s="6">
        <f t="shared" si="18"/>
        <v>-702.64</v>
      </c>
      <c r="Y59" s="2"/>
      <c r="Z59" s="7">
        <f t="shared" si="19"/>
        <v>-0.46842666666666666</v>
      </c>
    </row>
    <row r="60" spans="1:26" s="29" customFormat="1" outlineLevel="1" collapsed="1" x14ac:dyDescent="0.25">
      <c r="A60" s="28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35256.06</v>
      </c>
      <c r="E60" s="1"/>
      <c r="F60" s="5">
        <f t="shared" ref="F60:F70" si="20">IF(D$12=0,0,D60/D$12)</f>
        <v>2.8754435904109494E-2</v>
      </c>
      <c r="G60" s="1"/>
      <c r="H60" s="1">
        <f>SUM(OSRRefH22_1x_0)</f>
        <v>47547.502143692298</v>
      </c>
      <c r="I60" s="1"/>
      <c r="J60" s="5">
        <f t="shared" ref="J60:J70" si="21">IF(H$12=0,0,H60/H$12)</f>
        <v>3.0785742728836392E-2</v>
      </c>
      <c r="K60" s="1"/>
      <c r="L60" s="1">
        <f t="shared" ref="L60:L70" si="22">+D60-H60</f>
        <v>-12291.4421436923</v>
      </c>
      <c r="M60" s="1"/>
      <c r="N60" s="5">
        <f t="shared" ref="N60:N70" si="23">IF(H60=0,0,L60/H60)</f>
        <v>-0.25850868267583421</v>
      </c>
      <c r="O60" s="14"/>
      <c r="P60" s="1">
        <f>SUM(OSRRefP22_1x_0)</f>
        <v>64557.290000000008</v>
      </c>
      <c r="Q60" s="1"/>
      <c r="R60" s="5">
        <f t="shared" ref="R60:R70" si="24">IF(P$12=0,0,P60/P$12)</f>
        <v>5.0667061116144906E-2</v>
      </c>
      <c r="S60" s="1"/>
      <c r="T60" s="1">
        <f>SUM(OSRRefT22_1x_0)</f>
        <v>75590.254823307696</v>
      </c>
      <c r="U60" s="1"/>
      <c r="V60" s="5">
        <f t="shared" ref="V60:V70" si="25">IF(T$12=0,0,T60/T$12)</f>
        <v>4.6848478823001909E-2</v>
      </c>
      <c r="W60" s="1"/>
      <c r="X60" s="1">
        <f t="shared" ref="X60:X70" si="26">+P60-T60</f>
        <v>-11032.964823307688</v>
      </c>
      <c r="Y60" s="1"/>
      <c r="Z60" s="5">
        <f t="shared" ref="Z60:Z70" si="27">IF(T60=0,0,X60/T60)</f>
        <v>-0.14595750271112665</v>
      </c>
    </row>
    <row r="61" spans="1:26" s="24" customFormat="1" hidden="1" outlineLevel="2" x14ac:dyDescent="0.25">
      <c r="A61" s="27"/>
      <c r="B61" s="11" t="str">
        <f>CONCATENATE("          ", "6001", " - ", "ADMINISTRATIVE SALARIES")</f>
        <v xml:space="preserve">          6001 - ADMINISTRATIVE SALARIES</v>
      </c>
      <c r="C61" s="11"/>
      <c r="D61" s="6"/>
      <c r="E61" s="2"/>
      <c r="F61" s="7">
        <f t="shared" si="20"/>
        <v>0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>
        <v>-311.32</v>
      </c>
      <c r="Q61" s="2"/>
      <c r="R61" s="7">
        <f t="shared" si="24"/>
        <v>-2.4433599159255648E-4</v>
      </c>
      <c r="S61" s="2"/>
      <c r="T61" s="6">
        <v>0</v>
      </c>
      <c r="U61" s="2"/>
      <c r="V61" s="7">
        <f t="shared" si="25"/>
        <v>0</v>
      </c>
      <c r="W61" s="2"/>
      <c r="X61" s="6">
        <f t="shared" si="26"/>
        <v>-311.32</v>
      </c>
      <c r="Y61" s="2"/>
      <c r="Z61" s="7">
        <f t="shared" si="27"/>
        <v>0</v>
      </c>
    </row>
    <row r="62" spans="1:26" s="24" customFormat="1" hidden="1" outlineLevel="2" x14ac:dyDescent="0.25">
      <c r="A62" s="27"/>
      <c r="B62" s="11" t="str">
        <f>CONCATENATE("          ", "6002", " - ", "STAFF SALARIES")</f>
        <v xml:space="preserve">          6002 - STAFF SALARIES</v>
      </c>
      <c r="C62" s="11"/>
      <c r="D62" s="6">
        <v>14705.64</v>
      </c>
      <c r="E62" s="2"/>
      <c r="F62" s="7">
        <f t="shared" si="20"/>
        <v>1.1993750373947308E-2</v>
      </c>
      <c r="G62" s="2"/>
      <c r="H62" s="6">
        <v>13107.2520636923</v>
      </c>
      <c r="I62" s="2"/>
      <c r="J62" s="7">
        <f t="shared" si="21"/>
        <v>8.4865970181857795E-3</v>
      </c>
      <c r="K62" s="2"/>
      <c r="L62" s="6">
        <f t="shared" si="22"/>
        <v>1598.3879363076994</v>
      </c>
      <c r="M62" s="2"/>
      <c r="N62" s="7">
        <f t="shared" si="23"/>
        <v>0.12194683741036068</v>
      </c>
      <c r="O62" s="11"/>
      <c r="P62" s="6">
        <v>33135.4</v>
      </c>
      <c r="Q62" s="2"/>
      <c r="R62" s="7">
        <f t="shared" si="24"/>
        <v>2.6005945059154555E-2</v>
      </c>
      <c r="S62" s="2"/>
      <c r="T62" s="6">
        <v>29491.3171433077</v>
      </c>
      <c r="U62" s="2"/>
      <c r="V62" s="7">
        <f t="shared" si="25"/>
        <v>1.8277797182721902E-2</v>
      </c>
      <c r="W62" s="2"/>
      <c r="X62" s="6">
        <f t="shared" si="26"/>
        <v>3644.082856692301</v>
      </c>
      <c r="Y62" s="2"/>
      <c r="Z62" s="7">
        <f t="shared" si="27"/>
        <v>0.12356460170919265</v>
      </c>
    </row>
    <row r="63" spans="1:26" s="24" customFormat="1" hidden="1" outlineLevel="2" x14ac:dyDescent="0.25">
      <c r="A63" s="27"/>
      <c r="B63" s="11" t="str">
        <f>CONCATENATE("          ", "6003", " - ", "STAFF HOURLY-9 MONTH")</f>
        <v xml:space="preserve">          6003 - STAFF HOURLY-9 MONTH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4" customFormat="1" hidden="1" outlineLevel="2" x14ac:dyDescent="0.25">
      <c r="A64" s="27"/>
      <c r="B64" s="11" t="str">
        <f>CONCATENATE("          ", "6004", " - ", "STAFF HOURLY")</f>
        <v xml:space="preserve">          6004 - STAFF HOURLY</v>
      </c>
      <c r="C64" s="11"/>
      <c r="D64" s="6">
        <v>6665.13</v>
      </c>
      <c r="E64" s="2"/>
      <c r="F64" s="7">
        <f t="shared" si="20"/>
        <v>5.4360031545656927E-3</v>
      </c>
      <c r="G64" s="2"/>
      <c r="H64" s="6">
        <v>5285.7500799999998</v>
      </c>
      <c r="I64" s="2"/>
      <c r="J64" s="7">
        <f t="shared" si="21"/>
        <v>3.42238255965658E-3</v>
      </c>
      <c r="K64" s="2"/>
      <c r="L64" s="6">
        <f t="shared" si="22"/>
        <v>1379.3799200000003</v>
      </c>
      <c r="M64" s="2"/>
      <c r="N64" s="7">
        <f t="shared" si="23"/>
        <v>0.26096200144218706</v>
      </c>
      <c r="O64" s="11"/>
      <c r="P64" s="6">
        <v>12173.1</v>
      </c>
      <c r="Q64" s="2"/>
      <c r="R64" s="7">
        <f t="shared" si="24"/>
        <v>9.5539202725663276E-3</v>
      </c>
      <c r="S64" s="2"/>
      <c r="T64" s="6">
        <v>11892.937679999999</v>
      </c>
      <c r="U64" s="2"/>
      <c r="V64" s="7">
        <f t="shared" si="25"/>
        <v>7.3708712895218789E-3</v>
      </c>
      <c r="W64" s="2"/>
      <c r="X64" s="6">
        <f t="shared" si="26"/>
        <v>280.16232000000127</v>
      </c>
      <c r="Y64" s="2"/>
      <c r="Z64" s="7">
        <f t="shared" si="27"/>
        <v>2.3557032546394484E-2</v>
      </c>
    </row>
    <row r="65" spans="1:26" s="24" customFormat="1" hidden="1" outlineLevel="2" x14ac:dyDescent="0.25">
      <c r="A65" s="27"/>
      <c r="B65" s="11" t="str">
        <f>CONCATENATE("          ", "6005", " - ", "TEMPORARY WAGES-HOURLY")</f>
        <v xml:space="preserve">          6005 - TEMPORARY WAGES-HOURLY</v>
      </c>
      <c r="C65" s="11"/>
      <c r="D65" s="6">
        <v>3708.03</v>
      </c>
      <c r="E65" s="2"/>
      <c r="F65" s="7">
        <f t="shared" si="20"/>
        <v>3.0242265007920663E-3</v>
      </c>
      <c r="G65" s="2"/>
      <c r="H65" s="6">
        <v>3619.5</v>
      </c>
      <c r="I65" s="2"/>
      <c r="J65" s="7">
        <f t="shared" si="21"/>
        <v>2.3435299602127596E-3</v>
      </c>
      <c r="K65" s="2"/>
      <c r="L65" s="6">
        <f t="shared" si="22"/>
        <v>88.5300000000002</v>
      </c>
      <c r="M65" s="2"/>
      <c r="N65" s="7">
        <f t="shared" si="23"/>
        <v>2.4459179444674736E-2</v>
      </c>
      <c r="O65" s="11"/>
      <c r="P65" s="6">
        <v>5694.05</v>
      </c>
      <c r="Q65" s="2"/>
      <c r="R65" s="7">
        <f t="shared" si="24"/>
        <v>4.4689109370666712E-3</v>
      </c>
      <c r="S65" s="2"/>
      <c r="T65" s="6">
        <v>7296</v>
      </c>
      <c r="U65" s="2"/>
      <c r="V65" s="7">
        <f t="shared" si="25"/>
        <v>4.521832904143464E-3</v>
      </c>
      <c r="W65" s="2"/>
      <c r="X65" s="6">
        <f t="shared" si="26"/>
        <v>-1601.9499999999998</v>
      </c>
      <c r="Y65" s="2"/>
      <c r="Z65" s="7">
        <f t="shared" si="27"/>
        <v>-0.21956551535087718</v>
      </c>
    </row>
    <row r="66" spans="1:26" s="24" customFormat="1" hidden="1" outlineLevel="2" x14ac:dyDescent="0.25">
      <c r="A66" s="27"/>
      <c r="B66" s="11" t="str">
        <f>CONCATENATE("          ", "6006", " - ", "TEMPORARY PART TIME")</f>
        <v xml:space="preserve">          6006 - TEMPORARY PART TIME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>
        <v>502.29</v>
      </c>
      <c r="Q66" s="2"/>
      <c r="R66" s="7">
        <f t="shared" si="24"/>
        <v>3.9421664273745725E-4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502.29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"6007", " - ", "STUDENT HOURLY")</f>
        <v xml:space="preserve">          6007 - STUDENT HOURLY</v>
      </c>
      <c r="C67" s="11"/>
      <c r="D67" s="6">
        <v>10177.26</v>
      </c>
      <c r="E67" s="2"/>
      <c r="F67" s="7">
        <f t="shared" si="20"/>
        <v>8.3004558748044285E-3</v>
      </c>
      <c r="G67" s="2"/>
      <c r="H67" s="6">
        <v>12012.5</v>
      </c>
      <c r="I67" s="2"/>
      <c r="J67" s="7">
        <f t="shared" si="21"/>
        <v>7.7777741807033502E-3</v>
      </c>
      <c r="K67" s="2"/>
      <c r="L67" s="6">
        <f t="shared" si="22"/>
        <v>-1835.2399999999998</v>
      </c>
      <c r="M67" s="2"/>
      <c r="N67" s="7">
        <f t="shared" si="23"/>
        <v>-0.15277752341311132</v>
      </c>
      <c r="O67" s="11"/>
      <c r="P67" s="6">
        <v>13363.77</v>
      </c>
      <c r="Q67" s="2"/>
      <c r="R67" s="7">
        <f t="shared" si="24"/>
        <v>1.0488404196212445E-2</v>
      </c>
      <c r="S67" s="2"/>
      <c r="T67" s="6">
        <v>13387.5</v>
      </c>
      <c r="U67" s="2"/>
      <c r="V67" s="7">
        <f t="shared" si="25"/>
        <v>8.2971543317188357E-3</v>
      </c>
      <c r="W67" s="2"/>
      <c r="X67" s="6">
        <f t="shared" si="26"/>
        <v>-23.729999999999563</v>
      </c>
      <c r="Y67" s="2"/>
      <c r="Z67" s="7">
        <f t="shared" si="27"/>
        <v>-1.7725490196078106E-3</v>
      </c>
    </row>
    <row r="68" spans="1:26" s="24" customFormat="1" hidden="1" outlineLevel="2" x14ac:dyDescent="0.25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6"/>
      <c r="E68" s="2"/>
      <c r="F68" s="7">
        <f t="shared" si="20"/>
        <v>0</v>
      </c>
      <c r="G68" s="2"/>
      <c r="H68" s="6">
        <v>13522.5</v>
      </c>
      <c r="I68" s="2"/>
      <c r="J68" s="7">
        <f t="shared" si="21"/>
        <v>8.755459010077923E-3</v>
      </c>
      <c r="K68" s="2"/>
      <c r="L68" s="6">
        <f t="shared" si="22"/>
        <v>-13522.5</v>
      </c>
      <c r="M68" s="2"/>
      <c r="N68" s="7">
        <f t="shared" si="23"/>
        <v>-1</v>
      </c>
      <c r="O68" s="11"/>
      <c r="P68" s="6"/>
      <c r="Q68" s="2"/>
      <c r="R68" s="7">
        <f t="shared" si="24"/>
        <v>0</v>
      </c>
      <c r="S68" s="2"/>
      <c r="T68" s="6">
        <v>13522.5</v>
      </c>
      <c r="U68" s="2"/>
      <c r="V68" s="7">
        <f t="shared" si="25"/>
        <v>8.3808231148958332E-3</v>
      </c>
      <c r="W68" s="2"/>
      <c r="X68" s="6">
        <f t="shared" si="26"/>
        <v>-13522.5</v>
      </c>
      <c r="Y68" s="2"/>
      <c r="Z68" s="7">
        <f t="shared" si="27"/>
        <v>-1</v>
      </c>
    </row>
    <row r="69" spans="1:26" s="24" customFormat="1" hidden="1" outlineLevel="2" x14ac:dyDescent="0.25">
      <c r="A69" s="27"/>
      <c r="B69" s="11" t="str">
        <f>CONCATENATE("          ", "6009", " - ", "TEMPORARY-SEASONAL")</f>
        <v xml:space="preserve">          6009 - TEMPORARY-SEASONAL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7"/>
      <c r="B70" s="11" t="str">
        <f>CONCATENATE("          ", "6010", " - ", "GRATUITY")</f>
        <v xml:space="preserve">          6010 - GRATUITY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9" customFormat="1" outlineLevel="1" collapsed="1" x14ac:dyDescent="0.25">
      <c r="A71" s="28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109.98</v>
      </c>
      <c r="E71" s="1"/>
      <c r="F71" s="5">
        <f t="shared" ref="F71:F83" si="28">IF(D$12=0,0,D71/D$12)</f>
        <v>8.969841952657111E-5</v>
      </c>
      <c r="G71" s="1"/>
      <c r="H71" s="1">
        <f>SUM(OSRRefH22_2x_0)</f>
        <v>800</v>
      </c>
      <c r="I71" s="1"/>
      <c r="J71" s="5">
        <f t="shared" ref="J71:J83" si="29">IF(H$12=0,0,H71/H$12)</f>
        <v>5.1797871754944271E-4</v>
      </c>
      <c r="K71" s="1"/>
      <c r="L71" s="1">
        <f t="shared" ref="L71:L83" si="30">+D71-H71</f>
        <v>-690.02</v>
      </c>
      <c r="M71" s="1"/>
      <c r="N71" s="5">
        <f t="shared" ref="N71:N83" si="31">IF(H71=0,0,L71/H71)</f>
        <v>-0.86252499999999999</v>
      </c>
      <c r="O71" s="14"/>
      <c r="P71" s="1">
        <f>SUM(OSRRefP22_2x_0)</f>
        <v>1359.88</v>
      </c>
      <c r="Q71" s="1"/>
      <c r="R71" s="5">
        <f t="shared" ref="R71:R83" si="32">IF(P$12=0,0,P71/P$12)</f>
        <v>1.0672864841542004E-3</v>
      </c>
      <c r="S71" s="1"/>
      <c r="T71" s="1">
        <f>SUM(OSRRefT22_2x_0)</f>
        <v>900</v>
      </c>
      <c r="U71" s="1"/>
      <c r="V71" s="5">
        <f t="shared" ref="V71:V83" si="33">IF(T$12=0,0,T71/T$12)</f>
        <v>5.5779188784664438E-4</v>
      </c>
      <c r="W71" s="1"/>
      <c r="X71" s="1">
        <f t="shared" ref="X71:X83" si="34">+P71-T71</f>
        <v>459.88000000000011</v>
      </c>
      <c r="Y71" s="1"/>
      <c r="Z71" s="5">
        <f t="shared" ref="Z71:Z83" si="35">IF(T71=0,0,X71/T71)</f>
        <v>0.51097777777777786</v>
      </c>
    </row>
    <row r="72" spans="1:26" s="24" customFormat="1" hidden="1" outlineLevel="2" x14ac:dyDescent="0.25">
      <c r="A72" s="27"/>
      <c r="B72" s="11" t="str">
        <f>CONCATENATE("          ", "6362", " - ", "ADVERTISING EXPENSE")</f>
        <v xml:space="preserve">          6362 - ADVERTISING EXPENSE</v>
      </c>
      <c r="C72" s="11"/>
      <c r="D72" s="6">
        <v>109.98</v>
      </c>
      <c r="E72" s="2"/>
      <c r="F72" s="7">
        <f t="shared" si="28"/>
        <v>8.969841952657111E-5</v>
      </c>
      <c r="G72" s="2"/>
      <c r="H72" s="6">
        <v>800</v>
      </c>
      <c r="I72" s="2"/>
      <c r="J72" s="7">
        <f t="shared" si="29"/>
        <v>5.1797871754944271E-4</v>
      </c>
      <c r="K72" s="2"/>
      <c r="L72" s="6">
        <f t="shared" si="30"/>
        <v>-690.02</v>
      </c>
      <c r="M72" s="2"/>
      <c r="N72" s="7">
        <f t="shared" si="31"/>
        <v>-0.86252499999999999</v>
      </c>
      <c r="O72" s="11"/>
      <c r="P72" s="6">
        <v>1359.88</v>
      </c>
      <c r="Q72" s="2"/>
      <c r="R72" s="7">
        <f t="shared" si="32"/>
        <v>1.0672864841542004E-3</v>
      </c>
      <c r="S72" s="2"/>
      <c r="T72" s="6">
        <v>900</v>
      </c>
      <c r="U72" s="2"/>
      <c r="V72" s="7">
        <f t="shared" si="33"/>
        <v>5.5779188784664438E-4</v>
      </c>
      <c r="W72" s="2"/>
      <c r="X72" s="6">
        <f t="shared" si="34"/>
        <v>459.88000000000011</v>
      </c>
      <c r="Y72" s="2"/>
      <c r="Z72" s="7">
        <f t="shared" si="35"/>
        <v>0.51097777777777786</v>
      </c>
    </row>
    <row r="73" spans="1:26" s="29" customFormat="1" outlineLevel="1" collapsed="1" x14ac:dyDescent="0.25">
      <c r="A73" s="28"/>
      <c r="B73" s="14" t="str">
        <f>CONCATENATE("     ","Discounts and Markdowns                           ")</f>
        <v xml:space="preserve">     Discounts and Markdowns                           </v>
      </c>
      <c r="C73" s="14"/>
      <c r="D73" s="1">
        <f>SUM(OSRRefD22_3x_0)</f>
        <v>0</v>
      </c>
      <c r="E73" s="1"/>
      <c r="F73" s="5">
        <f t="shared" si="28"/>
        <v>0</v>
      </c>
      <c r="G73" s="1"/>
      <c r="H73" s="1">
        <f>SUM(OSRRefH22_3x_0)</f>
        <v>4000</v>
      </c>
      <c r="I73" s="1"/>
      <c r="J73" s="5">
        <f t="shared" si="29"/>
        <v>2.5898935877472135E-3</v>
      </c>
      <c r="K73" s="1"/>
      <c r="L73" s="1">
        <f t="shared" si="30"/>
        <v>-4000</v>
      </c>
      <c r="M73" s="1"/>
      <c r="N73" s="5">
        <f t="shared" si="31"/>
        <v>-1</v>
      </c>
      <c r="O73" s="14"/>
      <c r="P73" s="1">
        <f>SUM(OSRRefP22_3x_0)</f>
        <v>0</v>
      </c>
      <c r="Q73" s="1"/>
      <c r="R73" s="5">
        <f t="shared" si="32"/>
        <v>0</v>
      </c>
      <c r="S73" s="1"/>
      <c r="T73" s="1">
        <f>SUM(OSRRefT22_3x_0)</f>
        <v>5000</v>
      </c>
      <c r="U73" s="1"/>
      <c r="V73" s="5">
        <f t="shared" si="33"/>
        <v>3.0988438213702466E-3</v>
      </c>
      <c r="W73" s="1"/>
      <c r="X73" s="1">
        <f t="shared" si="34"/>
        <v>-5000</v>
      </c>
      <c r="Y73" s="1"/>
      <c r="Z73" s="5">
        <f t="shared" si="35"/>
        <v>-1</v>
      </c>
    </row>
    <row r="74" spans="1:26" s="24" customFormat="1" hidden="1" outlineLevel="2" x14ac:dyDescent="0.25">
      <c r="A74" s="27"/>
      <c r="B74" s="11" t="str">
        <f>CONCATENATE("          ", "6382", " - ", "DISCOUNTS/MARK DOWNS")</f>
        <v xml:space="preserve">          6382 - DISCOUNTS/MARK DOWNS</v>
      </c>
      <c r="C74" s="11"/>
      <c r="D74" s="6"/>
      <c r="E74" s="2"/>
      <c r="F74" s="7">
        <f t="shared" si="28"/>
        <v>0</v>
      </c>
      <c r="G74" s="2"/>
      <c r="H74" s="6">
        <v>4000</v>
      </c>
      <c r="I74" s="2"/>
      <c r="J74" s="7">
        <f t="shared" si="29"/>
        <v>2.5898935877472135E-3</v>
      </c>
      <c r="K74" s="2"/>
      <c r="L74" s="6">
        <f t="shared" si="30"/>
        <v>-4000</v>
      </c>
      <c r="M74" s="2"/>
      <c r="N74" s="7">
        <f t="shared" si="31"/>
        <v>-1</v>
      </c>
      <c r="O74" s="11"/>
      <c r="P74" s="6"/>
      <c r="Q74" s="2"/>
      <c r="R74" s="7">
        <f t="shared" si="32"/>
        <v>0</v>
      </c>
      <c r="S74" s="2"/>
      <c r="T74" s="6">
        <v>5000</v>
      </c>
      <c r="U74" s="2"/>
      <c r="V74" s="7">
        <f t="shared" si="33"/>
        <v>3.0988438213702466E-3</v>
      </c>
      <c r="W74" s="2"/>
      <c r="X74" s="6">
        <f t="shared" si="34"/>
        <v>-5000</v>
      </c>
      <c r="Y74" s="2"/>
      <c r="Z74" s="7">
        <f t="shared" si="35"/>
        <v>-1</v>
      </c>
    </row>
    <row r="75" spans="1:26" s="29" customFormat="1" outlineLevel="1" collapsed="1" x14ac:dyDescent="0.25">
      <c r="A75" s="28"/>
      <c r="B75" s="14" t="str">
        <f>CONCATENATE("     ","Employees' Appreciation                           ")</f>
        <v xml:space="preserve">     Employees' Appreciation                           </v>
      </c>
      <c r="C75" s="14"/>
      <c r="D75" s="1">
        <f>SUM(OSRRefD22_4x_0)</f>
        <v>0</v>
      </c>
      <c r="E75" s="1"/>
      <c r="F75" s="5">
        <f t="shared" si="28"/>
        <v>0</v>
      </c>
      <c r="G75" s="1"/>
      <c r="H75" s="1">
        <f>SUM(OSRRefH22_4x_0)</f>
        <v>75</v>
      </c>
      <c r="I75" s="1"/>
      <c r="J75" s="5">
        <f t="shared" si="29"/>
        <v>4.8560504770260254E-5</v>
      </c>
      <c r="K75" s="1"/>
      <c r="L75" s="1">
        <f t="shared" si="30"/>
        <v>-75</v>
      </c>
      <c r="M75" s="1"/>
      <c r="N75" s="5">
        <f t="shared" si="31"/>
        <v>-1</v>
      </c>
      <c r="O75" s="14"/>
      <c r="P75" s="1">
        <f>SUM(OSRRefP22_4x_0)</f>
        <v>107.7</v>
      </c>
      <c r="Q75" s="1"/>
      <c r="R75" s="5">
        <f t="shared" si="32"/>
        <v>8.4527130587557273E-5</v>
      </c>
      <c r="S75" s="1"/>
      <c r="T75" s="1">
        <f>SUM(OSRRefT22_4x_0)</f>
        <v>150</v>
      </c>
      <c r="U75" s="1"/>
      <c r="V75" s="5">
        <f t="shared" si="33"/>
        <v>9.29653146411074E-5</v>
      </c>
      <c r="W75" s="1"/>
      <c r="X75" s="1">
        <f t="shared" si="34"/>
        <v>-42.3</v>
      </c>
      <c r="Y75" s="1"/>
      <c r="Z75" s="5">
        <f t="shared" si="35"/>
        <v>-0.28199999999999997</v>
      </c>
    </row>
    <row r="76" spans="1:26" s="24" customFormat="1" hidden="1" outlineLevel="2" x14ac:dyDescent="0.25">
      <c r="A76" s="27"/>
      <c r="B76" s="11" t="str">
        <f>CONCATENATE("          ", "6277", " - ", "EMPLOYEE APPRECIATION")</f>
        <v xml:space="preserve">          6277 - EMPLOYEE APPRECIATION</v>
      </c>
      <c r="C76" s="11"/>
      <c r="D76" s="6"/>
      <c r="E76" s="2"/>
      <c r="F76" s="7">
        <f t="shared" si="28"/>
        <v>0</v>
      </c>
      <c r="G76" s="2"/>
      <c r="H76" s="6">
        <v>75</v>
      </c>
      <c r="I76" s="2"/>
      <c r="J76" s="7">
        <f t="shared" si="29"/>
        <v>4.8560504770260254E-5</v>
      </c>
      <c r="K76" s="2"/>
      <c r="L76" s="6">
        <f t="shared" si="30"/>
        <v>-75</v>
      </c>
      <c r="M76" s="2"/>
      <c r="N76" s="7">
        <f t="shared" si="31"/>
        <v>-1</v>
      </c>
      <c r="O76" s="11"/>
      <c r="P76" s="6">
        <v>107.7</v>
      </c>
      <c r="Q76" s="2"/>
      <c r="R76" s="7">
        <f t="shared" si="32"/>
        <v>8.4527130587557273E-5</v>
      </c>
      <c r="S76" s="2"/>
      <c r="T76" s="6">
        <v>150</v>
      </c>
      <c r="U76" s="2"/>
      <c r="V76" s="7">
        <f t="shared" si="33"/>
        <v>9.29653146411074E-5</v>
      </c>
      <c r="W76" s="2"/>
      <c r="X76" s="6">
        <f t="shared" si="34"/>
        <v>-42.3</v>
      </c>
      <c r="Y76" s="2"/>
      <c r="Z76" s="7">
        <f t="shared" si="35"/>
        <v>-0.28199999999999997</v>
      </c>
    </row>
    <row r="77" spans="1:26" s="29" customFormat="1" outlineLevel="1" collapsed="1" x14ac:dyDescent="0.25">
      <c r="A77" s="28"/>
      <c r="B77" s="14" t="str">
        <f>CONCATENATE("     ","Equipment Rental                                  ")</f>
        <v xml:space="preserve">     Equipment Rental                                  </v>
      </c>
      <c r="C77" s="14"/>
      <c r="D77" s="1">
        <f>SUM(OSRRefD22_5x_0)</f>
        <v>91.26</v>
      </c>
      <c r="E77" s="1"/>
      <c r="F77" s="5">
        <f t="shared" si="28"/>
        <v>7.443060343694198E-5</v>
      </c>
      <c r="G77" s="1"/>
      <c r="H77" s="1">
        <f>SUM(OSRRefH22_5x_0)</f>
        <v>100</v>
      </c>
      <c r="I77" s="1"/>
      <c r="J77" s="5">
        <f t="shared" si="29"/>
        <v>6.4747339693680339E-5</v>
      </c>
      <c r="K77" s="1"/>
      <c r="L77" s="1">
        <f t="shared" si="30"/>
        <v>-8.7399999999999949</v>
      </c>
      <c r="M77" s="1"/>
      <c r="N77" s="5">
        <f t="shared" si="31"/>
        <v>-8.739999999999995E-2</v>
      </c>
      <c r="O77" s="14"/>
      <c r="P77" s="1">
        <f>SUM(OSRRefP22_5x_0)</f>
        <v>182.52</v>
      </c>
      <c r="Q77" s="1"/>
      <c r="R77" s="5">
        <f t="shared" si="32"/>
        <v>1.4324876392609985E-4</v>
      </c>
      <c r="S77" s="1"/>
      <c r="T77" s="1">
        <f>SUM(OSRRefT22_5x_0)</f>
        <v>200</v>
      </c>
      <c r="U77" s="1"/>
      <c r="V77" s="5">
        <f t="shared" si="33"/>
        <v>1.2395375285480988E-4</v>
      </c>
      <c r="W77" s="1"/>
      <c r="X77" s="1">
        <f t="shared" si="34"/>
        <v>-17.47999999999999</v>
      </c>
      <c r="Y77" s="1"/>
      <c r="Z77" s="5">
        <f t="shared" si="35"/>
        <v>-8.739999999999995E-2</v>
      </c>
    </row>
    <row r="78" spans="1:26" s="24" customFormat="1" hidden="1" outlineLevel="2" x14ac:dyDescent="0.25">
      <c r="A78" s="27"/>
      <c r="B78" s="11" t="str">
        <f>CONCATENATE("          ", "6351", " - ", "EQUIPMENT RENTAL")</f>
        <v xml:space="preserve">          6351 - EQUIPMENT RENTAL</v>
      </c>
      <c r="C78" s="11"/>
      <c r="D78" s="6">
        <v>91.26</v>
      </c>
      <c r="E78" s="2"/>
      <c r="F78" s="7">
        <f t="shared" si="28"/>
        <v>7.443060343694198E-5</v>
      </c>
      <c r="G78" s="2"/>
      <c r="H78" s="6">
        <v>100</v>
      </c>
      <c r="I78" s="2"/>
      <c r="J78" s="7">
        <f t="shared" si="29"/>
        <v>6.4747339693680339E-5</v>
      </c>
      <c r="K78" s="2"/>
      <c r="L78" s="6">
        <f t="shared" si="30"/>
        <v>-8.7399999999999949</v>
      </c>
      <c r="M78" s="2"/>
      <c r="N78" s="7">
        <f t="shared" si="31"/>
        <v>-8.739999999999995E-2</v>
      </c>
      <c r="O78" s="11"/>
      <c r="P78" s="6">
        <v>182.52</v>
      </c>
      <c r="Q78" s="2"/>
      <c r="R78" s="7">
        <f t="shared" si="32"/>
        <v>1.4324876392609985E-4</v>
      </c>
      <c r="S78" s="2"/>
      <c r="T78" s="6">
        <v>200</v>
      </c>
      <c r="U78" s="2"/>
      <c r="V78" s="7">
        <f t="shared" si="33"/>
        <v>1.2395375285480988E-4</v>
      </c>
      <c r="W78" s="2"/>
      <c r="X78" s="6">
        <f t="shared" si="34"/>
        <v>-17.47999999999999</v>
      </c>
      <c r="Y78" s="2"/>
      <c r="Z78" s="7">
        <f t="shared" si="35"/>
        <v>-8.739999999999995E-2</v>
      </c>
    </row>
    <row r="79" spans="1:26" s="29" customFormat="1" outlineLevel="1" collapsed="1" x14ac:dyDescent="0.25">
      <c r="A79" s="28"/>
      <c r="B79" s="14" t="str">
        <f>CONCATENATE("     ","Freight out/Postage                               ")</f>
        <v xml:space="preserve">     Freight out/Postage                               </v>
      </c>
      <c r="C79" s="14"/>
      <c r="D79" s="1">
        <f>SUM(OSRRefD22_6x_0)</f>
        <v>333.31</v>
      </c>
      <c r="E79" s="1"/>
      <c r="F79" s="5">
        <f t="shared" si="28"/>
        <v>2.7184379171123305E-4</v>
      </c>
      <c r="G79" s="1"/>
      <c r="H79" s="1">
        <f>SUM(OSRRefH22_6x_0)</f>
        <v>800</v>
      </c>
      <c r="I79" s="1"/>
      <c r="J79" s="5">
        <f t="shared" si="29"/>
        <v>5.1797871754944271E-4</v>
      </c>
      <c r="K79" s="1"/>
      <c r="L79" s="1">
        <f t="shared" si="30"/>
        <v>-466.69</v>
      </c>
      <c r="M79" s="1"/>
      <c r="N79" s="5">
        <f t="shared" si="31"/>
        <v>-0.58336250000000001</v>
      </c>
      <c r="O79" s="14"/>
      <c r="P79" s="1">
        <f>SUM(OSRRefP22_6x_0)</f>
        <v>500.81</v>
      </c>
      <c r="Q79" s="1"/>
      <c r="R79" s="5">
        <f t="shared" si="32"/>
        <v>3.9305508142576192E-4</v>
      </c>
      <c r="S79" s="1"/>
      <c r="T79" s="1">
        <f>SUM(OSRRefT22_6x_0)</f>
        <v>1300</v>
      </c>
      <c r="U79" s="1"/>
      <c r="V79" s="5">
        <f t="shared" si="33"/>
        <v>8.0569939355626418E-4</v>
      </c>
      <c r="W79" s="1"/>
      <c r="X79" s="1">
        <f t="shared" si="34"/>
        <v>-799.19</v>
      </c>
      <c r="Y79" s="1"/>
      <c r="Z79" s="5">
        <f t="shared" si="35"/>
        <v>-0.61476153846153847</v>
      </c>
    </row>
    <row r="80" spans="1:26" s="24" customFormat="1" hidden="1" outlineLevel="2" x14ac:dyDescent="0.25">
      <c r="A80" s="27"/>
      <c r="B80" s="11" t="str">
        <f>CONCATENATE("          ", "6305", " - ", "FREIGHT OUT")</f>
        <v xml:space="preserve">          6305 - FREIGHT OUT</v>
      </c>
      <c r="C80" s="11"/>
      <c r="D80" s="6">
        <v>333.31</v>
      </c>
      <c r="E80" s="2"/>
      <c r="F80" s="7">
        <f t="shared" si="28"/>
        <v>2.7184379171123305E-4</v>
      </c>
      <c r="G80" s="2"/>
      <c r="H80" s="6">
        <v>800</v>
      </c>
      <c r="I80" s="2"/>
      <c r="J80" s="7">
        <f t="shared" si="29"/>
        <v>5.1797871754944271E-4</v>
      </c>
      <c r="K80" s="2"/>
      <c r="L80" s="6">
        <f t="shared" si="30"/>
        <v>-466.69</v>
      </c>
      <c r="M80" s="2"/>
      <c r="N80" s="7">
        <f t="shared" si="31"/>
        <v>-0.58336250000000001</v>
      </c>
      <c r="O80" s="11"/>
      <c r="P80" s="6">
        <v>500.81</v>
      </c>
      <c r="Q80" s="2"/>
      <c r="R80" s="7">
        <f t="shared" si="32"/>
        <v>3.9305508142576192E-4</v>
      </c>
      <c r="S80" s="2"/>
      <c r="T80" s="6">
        <v>1300</v>
      </c>
      <c r="U80" s="2"/>
      <c r="V80" s="7">
        <f t="shared" si="33"/>
        <v>8.0569939355626418E-4</v>
      </c>
      <c r="W80" s="2"/>
      <c r="X80" s="6">
        <f t="shared" si="34"/>
        <v>-799.19</v>
      </c>
      <c r="Y80" s="2"/>
      <c r="Z80" s="7">
        <f t="shared" si="35"/>
        <v>-0.61476153846153847</v>
      </c>
    </row>
    <row r="81" spans="1:26" s="29" customFormat="1" outlineLevel="1" collapsed="1" x14ac:dyDescent="0.25">
      <c r="A81" s="28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si="28"/>
        <v>0</v>
      </c>
      <c r="G81" s="1"/>
      <c r="H81" s="1">
        <f>SUM(OSRRefH22_7x_0)</f>
        <v>125</v>
      </c>
      <c r="I81" s="1"/>
      <c r="J81" s="5">
        <f t="shared" si="29"/>
        <v>8.0934174617100423E-5</v>
      </c>
      <c r="K81" s="1"/>
      <c r="L81" s="1">
        <f t="shared" si="30"/>
        <v>-125</v>
      </c>
      <c r="M81" s="1"/>
      <c r="N81" s="5">
        <f t="shared" si="31"/>
        <v>-1</v>
      </c>
      <c r="O81" s="14"/>
      <c r="P81" s="1">
        <f>SUM(OSRRefP22_7x_0)</f>
        <v>-4794.1899999999996</v>
      </c>
      <c r="Q81" s="1"/>
      <c r="R81" s="5">
        <f t="shared" si="32"/>
        <v>-3.7626659627814411E-3</v>
      </c>
      <c r="S81" s="1"/>
      <c r="T81" s="1">
        <f>SUM(OSRRefT22_7x_0)</f>
        <v>125</v>
      </c>
      <c r="U81" s="1"/>
      <c r="V81" s="5">
        <f t="shared" si="33"/>
        <v>7.7471095534256169E-5</v>
      </c>
      <c r="W81" s="1"/>
      <c r="X81" s="1">
        <f t="shared" si="34"/>
        <v>-4919.1899999999996</v>
      </c>
      <c r="Y81" s="1"/>
      <c r="Z81" s="5">
        <f t="shared" si="35"/>
        <v>-39.353519999999996</v>
      </c>
    </row>
    <row r="82" spans="1:26" s="24" customFormat="1" hidden="1" outlineLevel="2" x14ac:dyDescent="0.25">
      <c r="A82" s="27"/>
      <c r="B82" s="11" t="str">
        <f>CONCATENATE("          ", "6269", " - ", "ENTERTAINMENT")</f>
        <v xml:space="preserve">          6269 - ENTERTAINMENT</v>
      </c>
      <c r="C82" s="11"/>
      <c r="D82" s="6"/>
      <c r="E82" s="2"/>
      <c r="F82" s="7">
        <f t="shared" si="28"/>
        <v>0</v>
      </c>
      <c r="G82" s="2"/>
      <c r="H82" s="6">
        <v>125</v>
      </c>
      <c r="I82" s="2"/>
      <c r="J82" s="7">
        <f t="shared" si="29"/>
        <v>8.0934174617100423E-5</v>
      </c>
      <c r="K82" s="2"/>
      <c r="L82" s="6">
        <f t="shared" si="30"/>
        <v>-125</v>
      </c>
      <c r="M82" s="2"/>
      <c r="N82" s="7">
        <f t="shared" si="31"/>
        <v>-1</v>
      </c>
      <c r="O82" s="11"/>
      <c r="P82" s="6"/>
      <c r="Q82" s="2"/>
      <c r="R82" s="7">
        <f t="shared" si="32"/>
        <v>0</v>
      </c>
      <c r="S82" s="2"/>
      <c r="T82" s="6">
        <v>125</v>
      </c>
      <c r="U82" s="2"/>
      <c r="V82" s="7">
        <f t="shared" si="33"/>
        <v>7.7471095534256169E-5</v>
      </c>
      <c r="W82" s="2"/>
      <c r="X82" s="6">
        <f t="shared" si="34"/>
        <v>-125</v>
      </c>
      <c r="Y82" s="2"/>
      <c r="Z82" s="7">
        <f t="shared" si="35"/>
        <v>-1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28"/>
        <v>0</v>
      </c>
      <c r="G83" s="2"/>
      <c r="H83" s="6"/>
      <c r="I83" s="2"/>
      <c r="J83" s="7">
        <f t="shared" si="29"/>
        <v>0</v>
      </c>
      <c r="K83" s="2"/>
      <c r="L83" s="6">
        <f t="shared" si="30"/>
        <v>0</v>
      </c>
      <c r="M83" s="2"/>
      <c r="N83" s="7">
        <f t="shared" si="31"/>
        <v>0</v>
      </c>
      <c r="O83" s="11"/>
      <c r="P83" s="6">
        <v>-4794.1899999999996</v>
      </c>
      <c r="Q83" s="2"/>
      <c r="R83" s="7">
        <f t="shared" si="32"/>
        <v>-3.7626659627814411E-3</v>
      </c>
      <c r="S83" s="2"/>
      <c r="T83" s="6"/>
      <c r="U83" s="2"/>
      <c r="V83" s="7">
        <f t="shared" si="33"/>
        <v>0</v>
      </c>
      <c r="W83" s="2"/>
      <c r="X83" s="6">
        <f t="shared" si="34"/>
        <v>-4794.1899999999996</v>
      </c>
      <c r="Y83" s="2"/>
      <c r="Z83" s="7">
        <f t="shared" si="35"/>
        <v>0</v>
      </c>
    </row>
    <row r="84" spans="1:26" s="29" customFormat="1" outlineLevel="1" collapsed="1" x14ac:dyDescent="0.25">
      <c r="A84" s="28"/>
      <c r="B84" s="14" t="str">
        <f>CONCATENATE("     ","Inventory Adjustment                              ")</f>
        <v xml:space="preserve">     Inventory Adjustment                              </v>
      </c>
      <c r="C84" s="14"/>
      <c r="D84" s="1">
        <f>SUM(OSRRefD22_8x_0)</f>
        <v>1000</v>
      </c>
      <c r="E84" s="1"/>
      <c r="F84" s="5">
        <f t="shared" ref="F84:F88" si="36">IF(D$12=0,0,D84/D$12)</f>
        <v>8.1558846632634203E-4</v>
      </c>
      <c r="G84" s="1"/>
      <c r="H84" s="1">
        <f>SUM(OSRRefH22_8x_0)</f>
        <v>1000</v>
      </c>
      <c r="I84" s="1"/>
      <c r="J84" s="5">
        <f t="shared" ref="J84:J88" si="37">IF(H$12=0,0,H84/H$12)</f>
        <v>6.4747339693680339E-4</v>
      </c>
      <c r="K84" s="1"/>
      <c r="L84" s="1">
        <f t="shared" ref="L84:L88" si="38">+D84-H84</f>
        <v>0</v>
      </c>
      <c r="M84" s="1"/>
      <c r="N84" s="5">
        <f t="shared" ref="N84:N88" si="39">IF(H84=0,0,L84/H84)</f>
        <v>0</v>
      </c>
      <c r="O84" s="14"/>
      <c r="P84" s="1">
        <f>SUM(OSRRefP22_8x_0)</f>
        <v>2000</v>
      </c>
      <c r="Q84" s="1"/>
      <c r="R84" s="5">
        <f t="shared" ref="R84:R88" si="40">IF(P$12=0,0,P84/P$12)</f>
        <v>1.569677448236904E-3</v>
      </c>
      <c r="S84" s="1"/>
      <c r="T84" s="1">
        <f>SUM(OSRRefT22_8x_0)</f>
        <v>2000</v>
      </c>
      <c r="U84" s="1"/>
      <c r="V84" s="5">
        <f t="shared" ref="V84:V88" si="41">IF(T$12=0,0,T84/T$12)</f>
        <v>1.2395375285480987E-3</v>
      </c>
      <c r="W84" s="1"/>
      <c r="X84" s="1">
        <f t="shared" ref="X84:X88" si="42">+P84-T84</f>
        <v>0</v>
      </c>
      <c r="Y84" s="1"/>
      <c r="Z84" s="5">
        <f t="shared" ref="Z84:Z88" si="43">IF(T84=0,0,X84/T84)</f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6">
        <v>1000</v>
      </c>
      <c r="E85" s="2"/>
      <c r="F85" s="7">
        <f t="shared" si="36"/>
        <v>8.1558846632634203E-4</v>
      </c>
      <c r="G85" s="2"/>
      <c r="H85" s="6">
        <v>1000</v>
      </c>
      <c r="I85" s="2"/>
      <c r="J85" s="7">
        <f t="shared" si="37"/>
        <v>6.4747339693680339E-4</v>
      </c>
      <c r="K85" s="2"/>
      <c r="L85" s="6">
        <f t="shared" si="38"/>
        <v>0</v>
      </c>
      <c r="M85" s="2"/>
      <c r="N85" s="7">
        <f t="shared" si="39"/>
        <v>0</v>
      </c>
      <c r="O85" s="11"/>
      <c r="P85" s="6">
        <v>2000</v>
      </c>
      <c r="Q85" s="2"/>
      <c r="R85" s="7">
        <f t="shared" si="40"/>
        <v>1.569677448236904E-3</v>
      </c>
      <c r="S85" s="2"/>
      <c r="T85" s="6">
        <v>2000</v>
      </c>
      <c r="U85" s="2"/>
      <c r="V85" s="7">
        <f t="shared" si="41"/>
        <v>1.2395375285480987E-3</v>
      </c>
      <c r="W85" s="2"/>
      <c r="X85" s="6">
        <f t="shared" si="42"/>
        <v>0</v>
      </c>
      <c r="Y85" s="2"/>
      <c r="Z85" s="7">
        <f t="shared" si="43"/>
        <v>0</v>
      </c>
    </row>
    <row r="86" spans="1:26" s="29" customFormat="1" outlineLevel="1" collapsed="1" x14ac:dyDescent="0.25">
      <c r="A86" s="28"/>
      <c r="B86" s="14" t="str">
        <f>CONCATENATE("     ","Repair and Maintenance                            ")</f>
        <v xml:space="preserve">     Repair and Maintenance                            </v>
      </c>
      <c r="C86" s="14"/>
      <c r="D86" s="1">
        <f>SUM(OSRRefD22_9x_0)</f>
        <v>0</v>
      </c>
      <c r="E86" s="1"/>
      <c r="F86" s="5">
        <f t="shared" si="36"/>
        <v>0</v>
      </c>
      <c r="G86" s="1"/>
      <c r="H86" s="1">
        <f>SUM(OSRRefH22_9x_0)</f>
        <v>140</v>
      </c>
      <c r="I86" s="1"/>
      <c r="J86" s="5">
        <f t="shared" si="37"/>
        <v>9.0646275571152471E-5</v>
      </c>
      <c r="K86" s="1"/>
      <c r="L86" s="1">
        <f t="shared" si="38"/>
        <v>-140</v>
      </c>
      <c r="M86" s="1"/>
      <c r="N86" s="5">
        <f t="shared" si="39"/>
        <v>-1</v>
      </c>
      <c r="O86" s="14"/>
      <c r="P86" s="1">
        <f>SUM(OSRRefP22_9x_0)</f>
        <v>22.86</v>
      </c>
      <c r="Q86" s="1"/>
      <c r="R86" s="5">
        <f t="shared" si="40"/>
        <v>1.7941413233347812E-5</v>
      </c>
      <c r="S86" s="1"/>
      <c r="T86" s="1">
        <f>SUM(OSRRefT22_9x_0)</f>
        <v>280</v>
      </c>
      <c r="U86" s="1"/>
      <c r="V86" s="5">
        <f t="shared" si="41"/>
        <v>1.7353525399673383E-4</v>
      </c>
      <c r="W86" s="1"/>
      <c r="X86" s="1">
        <f t="shared" si="42"/>
        <v>-257.14</v>
      </c>
      <c r="Y86" s="1"/>
      <c r="Z86" s="5">
        <f t="shared" si="43"/>
        <v>-0.91835714285714276</v>
      </c>
    </row>
    <row r="87" spans="1:26" s="24" customFormat="1" hidden="1" outlineLevel="2" x14ac:dyDescent="0.25">
      <c r="A87" s="27"/>
      <c r="B87" s="11" t="str">
        <f>CONCATENATE("          ", "6373", " - ", "MAINTENANCE CONTRACTS")</f>
        <v xml:space="preserve">          6373 - MAINTENANCE CONTRACTS</v>
      </c>
      <c r="C87" s="11"/>
      <c r="D87" s="6"/>
      <c r="E87" s="2"/>
      <c r="F87" s="7">
        <f t="shared" si="36"/>
        <v>0</v>
      </c>
      <c r="G87" s="2"/>
      <c r="H87" s="6">
        <v>40</v>
      </c>
      <c r="I87" s="2"/>
      <c r="J87" s="7">
        <f t="shared" si="37"/>
        <v>2.5898935877472133E-5</v>
      </c>
      <c r="K87" s="2"/>
      <c r="L87" s="6">
        <f t="shared" si="38"/>
        <v>-40</v>
      </c>
      <c r="M87" s="2"/>
      <c r="N87" s="7">
        <f t="shared" si="39"/>
        <v>-1</v>
      </c>
      <c r="O87" s="11"/>
      <c r="P87" s="6">
        <v>22.86</v>
      </c>
      <c r="Q87" s="2"/>
      <c r="R87" s="7">
        <f t="shared" si="40"/>
        <v>1.7941413233347812E-5</v>
      </c>
      <c r="S87" s="2"/>
      <c r="T87" s="6">
        <v>80</v>
      </c>
      <c r="U87" s="2"/>
      <c r="V87" s="7">
        <f t="shared" si="41"/>
        <v>4.9581501141923951E-5</v>
      </c>
      <c r="W87" s="2"/>
      <c r="X87" s="6">
        <f t="shared" si="42"/>
        <v>-57.14</v>
      </c>
      <c r="Y87" s="2"/>
      <c r="Z87" s="7">
        <f t="shared" si="43"/>
        <v>-0.71425000000000005</v>
      </c>
    </row>
    <row r="88" spans="1:26" s="24" customFormat="1" hidden="1" outlineLevel="2" x14ac:dyDescent="0.25">
      <c r="A88" s="27"/>
      <c r="B88" s="11" t="str">
        <f>CONCATENATE("          ", "6375", " - ", "OUTSIDE REPAIRS &amp; MAINTENANCE")</f>
        <v xml:space="preserve">          6375 - OUTSIDE REPAIRS &amp; MAINTENANCE</v>
      </c>
      <c r="C88" s="11"/>
      <c r="D88" s="6"/>
      <c r="E88" s="2"/>
      <c r="F88" s="7">
        <f t="shared" si="36"/>
        <v>0</v>
      </c>
      <c r="G88" s="2"/>
      <c r="H88" s="6">
        <v>100</v>
      </c>
      <c r="I88" s="2"/>
      <c r="J88" s="7">
        <f t="shared" si="37"/>
        <v>6.4747339693680339E-5</v>
      </c>
      <c r="K88" s="2"/>
      <c r="L88" s="6">
        <f t="shared" si="38"/>
        <v>-100</v>
      </c>
      <c r="M88" s="2"/>
      <c r="N88" s="7">
        <f t="shared" si="39"/>
        <v>-1</v>
      </c>
      <c r="O88" s="11"/>
      <c r="P88" s="6"/>
      <c r="Q88" s="2"/>
      <c r="R88" s="7">
        <f t="shared" si="40"/>
        <v>0</v>
      </c>
      <c r="S88" s="2"/>
      <c r="T88" s="6">
        <v>200</v>
      </c>
      <c r="U88" s="2"/>
      <c r="V88" s="7">
        <f t="shared" si="41"/>
        <v>1.2395375285480988E-4</v>
      </c>
      <c r="W88" s="2"/>
      <c r="X88" s="6">
        <f t="shared" si="42"/>
        <v>-200</v>
      </c>
      <c r="Y88" s="2"/>
      <c r="Z88" s="7">
        <f t="shared" si="43"/>
        <v>-1</v>
      </c>
    </row>
    <row r="89" spans="1:26" s="29" customFormat="1" outlineLevel="1" collapsed="1" x14ac:dyDescent="0.25">
      <c r="A89" s="28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SUM(OSRRefD22_10x_0)</f>
        <v>270</v>
      </c>
      <c r="E89" s="1"/>
      <c r="F89" s="5">
        <f t="shared" ref="F89:F94" si="44">IF(D$12=0,0,D89/D$12)</f>
        <v>2.2020888590811236E-4</v>
      </c>
      <c r="G89" s="1"/>
      <c r="H89" s="1">
        <f>SUM(OSRRefH22_10x_0)</f>
        <v>300</v>
      </c>
      <c r="I89" s="1"/>
      <c r="J89" s="5">
        <f t="shared" ref="J89:J94" si="45">IF(H$12=0,0,H89/H$12)</f>
        <v>1.9424201908104102E-4</v>
      </c>
      <c r="K89" s="1"/>
      <c r="L89" s="1">
        <f t="shared" ref="L89:L94" si="46">+D89-H89</f>
        <v>-30</v>
      </c>
      <c r="M89" s="1"/>
      <c r="N89" s="5">
        <f t="shared" ref="N89:N94" si="47">IF(H89=0,0,L89/H89)</f>
        <v>-0.1</v>
      </c>
      <c r="O89" s="14"/>
      <c r="P89" s="1">
        <f>SUM(OSRRefP22_10x_0)</f>
        <v>560</v>
      </c>
      <c r="Q89" s="1"/>
      <c r="R89" s="5">
        <f t="shared" ref="R89:R94" si="48">IF(P$12=0,0,P89/P$12)</f>
        <v>4.395096855063331E-4</v>
      </c>
      <c r="S89" s="1"/>
      <c r="T89" s="1">
        <f>SUM(OSRRefT22_10x_0)</f>
        <v>600</v>
      </c>
      <c r="U89" s="1"/>
      <c r="V89" s="5">
        <f t="shared" ref="V89:V94" si="49">IF(T$12=0,0,T89/T$12)</f>
        <v>3.718612585644296E-4</v>
      </c>
      <c r="W89" s="1"/>
      <c r="X89" s="1">
        <f t="shared" ref="X89:X94" si="50">+P89-T89</f>
        <v>-40</v>
      </c>
      <c r="Y89" s="1"/>
      <c r="Z89" s="5">
        <f t="shared" ref="Z89:Z94" si="51">IF(T89=0,0,X89/T89)</f>
        <v>-6.6666666666666666E-2</v>
      </c>
    </row>
    <row r="90" spans="1:26" s="24" customFormat="1" hidden="1" outlineLevel="2" x14ac:dyDescent="0.25">
      <c r="A90" s="27"/>
      <c r="B90" s="11" t="str">
        <f>CONCATENATE("          ", "6258", " - ", "MEMBERSHIP DUES")</f>
        <v xml:space="preserve">          6258 - MEMBERSHIP DUES</v>
      </c>
      <c r="C90" s="11"/>
      <c r="D90" s="6">
        <v>270</v>
      </c>
      <c r="E90" s="2"/>
      <c r="F90" s="7">
        <f t="shared" si="44"/>
        <v>2.2020888590811236E-4</v>
      </c>
      <c r="G90" s="2"/>
      <c r="H90" s="6">
        <v>300</v>
      </c>
      <c r="I90" s="2"/>
      <c r="J90" s="7">
        <f t="shared" si="45"/>
        <v>1.9424201908104102E-4</v>
      </c>
      <c r="K90" s="2"/>
      <c r="L90" s="6">
        <f t="shared" si="46"/>
        <v>-30</v>
      </c>
      <c r="M90" s="2"/>
      <c r="N90" s="7">
        <f t="shared" si="47"/>
        <v>-0.1</v>
      </c>
      <c r="O90" s="11"/>
      <c r="P90" s="6">
        <v>560</v>
      </c>
      <c r="Q90" s="2"/>
      <c r="R90" s="7">
        <f t="shared" si="48"/>
        <v>4.395096855063331E-4</v>
      </c>
      <c r="S90" s="2"/>
      <c r="T90" s="6">
        <v>600</v>
      </c>
      <c r="U90" s="2"/>
      <c r="V90" s="7">
        <f t="shared" si="49"/>
        <v>3.718612585644296E-4</v>
      </c>
      <c r="W90" s="2"/>
      <c r="X90" s="6">
        <f t="shared" si="50"/>
        <v>-40</v>
      </c>
      <c r="Y90" s="2"/>
      <c r="Z90" s="7">
        <f t="shared" si="51"/>
        <v>-6.6666666666666666E-2</v>
      </c>
    </row>
    <row r="91" spans="1:26" s="29" customFormat="1" outlineLevel="1" collapsed="1" x14ac:dyDescent="0.25">
      <c r="A91" s="28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SUM(OSRRefD22_11x_0)</f>
        <v>197.4</v>
      </c>
      <c r="E91" s="1"/>
      <c r="F91" s="5">
        <f t="shared" si="44"/>
        <v>1.6099716325281992E-4</v>
      </c>
      <c r="G91" s="1"/>
      <c r="H91" s="1">
        <f>SUM(OSRRefH22_11x_0)</f>
        <v>1700</v>
      </c>
      <c r="I91" s="1"/>
      <c r="J91" s="5">
        <f t="shared" si="45"/>
        <v>1.1007047747925657E-3</v>
      </c>
      <c r="K91" s="1"/>
      <c r="L91" s="1">
        <f t="shared" si="46"/>
        <v>-1502.6</v>
      </c>
      <c r="M91" s="1"/>
      <c r="N91" s="5">
        <f t="shared" si="47"/>
        <v>-0.88388235294117645</v>
      </c>
      <c r="O91" s="14"/>
      <c r="P91" s="1">
        <f>SUM(OSRRefP22_11x_0)</f>
        <v>990.16000000000008</v>
      </c>
      <c r="Q91" s="1"/>
      <c r="R91" s="5">
        <f t="shared" si="48"/>
        <v>7.7711591107312644E-4</v>
      </c>
      <c r="S91" s="1"/>
      <c r="T91" s="1">
        <f>SUM(OSRRefT22_11x_0)</f>
        <v>2600</v>
      </c>
      <c r="U91" s="1"/>
      <c r="V91" s="5">
        <f t="shared" si="49"/>
        <v>1.6113987871125284E-3</v>
      </c>
      <c r="W91" s="1"/>
      <c r="X91" s="1">
        <f t="shared" si="50"/>
        <v>-1609.84</v>
      </c>
      <c r="Y91" s="1"/>
      <c r="Z91" s="5">
        <f t="shared" si="51"/>
        <v>-0.61916923076923069</v>
      </c>
    </row>
    <row r="92" spans="1:26" s="24" customFormat="1" hidden="1" outlineLevel="2" x14ac:dyDescent="0.25">
      <c r="A92" s="27"/>
      <c r="B92" s="11" t="str">
        <f>CONCATENATE("          ", "6241", " - ", "OFFICE EXPENSE")</f>
        <v xml:space="preserve">          6241 - OFFICE EXPENSE</v>
      </c>
      <c r="C92" s="11"/>
      <c r="D92" s="6">
        <v>197.4</v>
      </c>
      <c r="E92" s="2"/>
      <c r="F92" s="7">
        <f t="shared" si="44"/>
        <v>1.6099716325281992E-4</v>
      </c>
      <c r="G92" s="2"/>
      <c r="H92" s="6">
        <v>600</v>
      </c>
      <c r="I92" s="2"/>
      <c r="J92" s="7">
        <f t="shared" si="45"/>
        <v>3.8848403816208203E-4</v>
      </c>
      <c r="K92" s="2"/>
      <c r="L92" s="6">
        <f t="shared" si="46"/>
        <v>-402.6</v>
      </c>
      <c r="M92" s="2"/>
      <c r="N92" s="7">
        <f t="shared" si="47"/>
        <v>-0.67100000000000004</v>
      </c>
      <c r="O92" s="11"/>
      <c r="P92" s="6">
        <v>357.06</v>
      </c>
      <c r="Q92" s="2"/>
      <c r="R92" s="7">
        <f t="shared" si="48"/>
        <v>2.8023451483373448E-4</v>
      </c>
      <c r="S92" s="2"/>
      <c r="T92" s="6">
        <v>900</v>
      </c>
      <c r="U92" s="2"/>
      <c r="V92" s="7">
        <f t="shared" si="49"/>
        <v>5.5779188784664438E-4</v>
      </c>
      <c r="W92" s="2"/>
      <c r="X92" s="6">
        <f t="shared" si="50"/>
        <v>-542.94000000000005</v>
      </c>
      <c r="Y92" s="2"/>
      <c r="Z92" s="7">
        <f t="shared" si="51"/>
        <v>-0.60326666666666673</v>
      </c>
    </row>
    <row r="93" spans="1:26" s="24" customFormat="1" hidden="1" outlineLevel="2" x14ac:dyDescent="0.25">
      <c r="A93" s="27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44"/>
        <v>0</v>
      </c>
      <c r="G93" s="2"/>
      <c r="H93" s="6">
        <v>400</v>
      </c>
      <c r="I93" s="2"/>
      <c r="J93" s="7">
        <f t="shared" si="45"/>
        <v>2.5898935877472135E-4</v>
      </c>
      <c r="K93" s="2"/>
      <c r="L93" s="6">
        <f t="shared" si="46"/>
        <v>-400</v>
      </c>
      <c r="M93" s="2"/>
      <c r="N93" s="7">
        <f t="shared" si="47"/>
        <v>-1</v>
      </c>
      <c r="O93" s="11"/>
      <c r="P93" s="6"/>
      <c r="Q93" s="2"/>
      <c r="R93" s="7">
        <f t="shared" si="48"/>
        <v>0</v>
      </c>
      <c r="S93" s="2"/>
      <c r="T93" s="6">
        <v>500</v>
      </c>
      <c r="U93" s="2"/>
      <c r="V93" s="7">
        <f t="shared" si="49"/>
        <v>3.0988438213702468E-4</v>
      </c>
      <c r="W93" s="2"/>
      <c r="X93" s="6">
        <f t="shared" si="50"/>
        <v>-500</v>
      </c>
      <c r="Y93" s="2"/>
      <c r="Z93" s="7">
        <f t="shared" si="51"/>
        <v>-1</v>
      </c>
    </row>
    <row r="94" spans="1:26" s="24" customFormat="1" hidden="1" outlineLevel="2" x14ac:dyDescent="0.25">
      <c r="A94" s="27"/>
      <c r="B94" s="11" t="str">
        <f>CONCATENATE("          ", "6247", " - ", "STORE SUPPLIES")</f>
        <v xml:space="preserve">          6247 - STORE SUPPLIES</v>
      </c>
      <c r="C94" s="11"/>
      <c r="D94" s="6"/>
      <c r="E94" s="2"/>
      <c r="F94" s="7">
        <f t="shared" si="44"/>
        <v>0</v>
      </c>
      <c r="G94" s="2"/>
      <c r="H94" s="6">
        <v>700</v>
      </c>
      <c r="I94" s="2"/>
      <c r="J94" s="7">
        <f t="shared" si="45"/>
        <v>4.5323137785576237E-4</v>
      </c>
      <c r="K94" s="2"/>
      <c r="L94" s="6">
        <f t="shared" si="46"/>
        <v>-700</v>
      </c>
      <c r="M94" s="2"/>
      <c r="N94" s="7">
        <f t="shared" si="47"/>
        <v>-1</v>
      </c>
      <c r="O94" s="11"/>
      <c r="P94" s="6">
        <v>633.1</v>
      </c>
      <c r="Q94" s="2"/>
      <c r="R94" s="7">
        <f t="shared" si="48"/>
        <v>4.968813962393919E-4</v>
      </c>
      <c r="S94" s="2"/>
      <c r="T94" s="6">
        <v>1200</v>
      </c>
      <c r="U94" s="2"/>
      <c r="V94" s="7">
        <f t="shared" si="49"/>
        <v>7.437225171288592E-4</v>
      </c>
      <c r="W94" s="2"/>
      <c r="X94" s="6">
        <f t="shared" si="50"/>
        <v>-566.9</v>
      </c>
      <c r="Y94" s="2"/>
      <c r="Z94" s="7">
        <f t="shared" si="51"/>
        <v>-0.47241666666666665</v>
      </c>
    </row>
    <row r="95" spans="1:26" s="29" customFormat="1" outlineLevel="1" collapsed="1" x14ac:dyDescent="0.25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SUM(OSRRefD22_12x_0)</f>
        <v>472.8</v>
      </c>
      <c r="E95" s="1"/>
      <c r="F95" s="5">
        <f t="shared" ref="F95:F97" si="52">IF(D$12=0,0,D95/D$12)</f>
        <v>3.8561022687909455E-4</v>
      </c>
      <c r="G95" s="1"/>
      <c r="H95" s="1">
        <f>SUM(OSRRefH22_12x_0)</f>
        <v>1000</v>
      </c>
      <c r="I95" s="1"/>
      <c r="J95" s="5">
        <f t="shared" ref="J95:J97" si="53">IF(H$12=0,0,H95/H$12)</f>
        <v>6.4747339693680339E-4</v>
      </c>
      <c r="K95" s="1"/>
      <c r="L95" s="1">
        <f t="shared" ref="L95:L97" si="54">+D95-H95</f>
        <v>-527.20000000000005</v>
      </c>
      <c r="M95" s="1"/>
      <c r="N95" s="5">
        <f t="shared" ref="N95:N97" si="55">IF(H95=0,0,L95/H95)</f>
        <v>-0.5272</v>
      </c>
      <c r="O95" s="14"/>
      <c r="P95" s="1">
        <f>SUM(OSRRefP22_12x_0)</f>
        <v>1233.3</v>
      </c>
      <c r="Q95" s="1"/>
      <c r="R95" s="5">
        <f t="shared" ref="R95:R97" si="56">IF(P$12=0,0,P95/P$12)</f>
        <v>9.6794159845528679E-4</v>
      </c>
      <c r="S95" s="1"/>
      <c r="T95" s="1">
        <f>SUM(OSRRefT22_12x_0)</f>
        <v>1600</v>
      </c>
      <c r="U95" s="1"/>
      <c r="V95" s="5">
        <f t="shared" ref="V95:V97" si="57">IF(T$12=0,0,T95/T$12)</f>
        <v>9.9163002283847901E-4</v>
      </c>
      <c r="W95" s="1"/>
      <c r="X95" s="1">
        <f t="shared" ref="X95:X97" si="58">+P95-T95</f>
        <v>-366.70000000000005</v>
      </c>
      <c r="Y95" s="1"/>
      <c r="Z95" s="5">
        <f t="shared" ref="Z95:Z97" si="59">IF(T95=0,0,X95/T95)</f>
        <v>-0.22918750000000002</v>
      </c>
    </row>
    <row r="96" spans="1:26" s="24" customFormat="1" hidden="1" outlineLevel="2" x14ac:dyDescent="0.25">
      <c r="A96" s="27"/>
      <c r="B96" s="11" t="str">
        <f>CONCATENATE("          ", "6303", " - ", "DATA PHONE LINES")</f>
        <v xml:space="preserve">          6303 - DATA PHONE LINES</v>
      </c>
      <c r="C96" s="11"/>
      <c r="D96" s="6"/>
      <c r="E96" s="2"/>
      <c r="F96" s="7">
        <f t="shared" si="52"/>
        <v>0</v>
      </c>
      <c r="G96" s="2"/>
      <c r="H96" s="6">
        <v>300</v>
      </c>
      <c r="I96" s="2"/>
      <c r="J96" s="7">
        <f t="shared" si="53"/>
        <v>1.9424201908104102E-4</v>
      </c>
      <c r="K96" s="2"/>
      <c r="L96" s="6">
        <f t="shared" si="54"/>
        <v>-300</v>
      </c>
      <c r="M96" s="2"/>
      <c r="N96" s="7">
        <f t="shared" si="55"/>
        <v>-1</v>
      </c>
      <c r="O96" s="11"/>
      <c r="P96" s="6">
        <v>295</v>
      </c>
      <c r="Q96" s="2"/>
      <c r="R96" s="7">
        <f t="shared" si="56"/>
        <v>2.3152742361494332E-4</v>
      </c>
      <c r="S96" s="2"/>
      <c r="T96" s="6">
        <v>600</v>
      </c>
      <c r="U96" s="2"/>
      <c r="V96" s="7">
        <f t="shared" si="57"/>
        <v>3.718612585644296E-4</v>
      </c>
      <c r="W96" s="2"/>
      <c r="X96" s="6">
        <f t="shared" si="58"/>
        <v>-305</v>
      </c>
      <c r="Y96" s="2"/>
      <c r="Z96" s="7">
        <f t="shared" si="59"/>
        <v>-0.5083333333333333</v>
      </c>
    </row>
    <row r="97" spans="1:26" s="24" customFormat="1" hidden="1" outlineLevel="2" x14ac:dyDescent="0.25">
      <c r="A97" s="27"/>
      <c r="B97" s="11" t="str">
        <f>CONCATENATE("          ", "6309", " - ", "TELEPHONE")</f>
        <v xml:space="preserve">          6309 - TELEPHONE</v>
      </c>
      <c r="C97" s="11"/>
      <c r="D97" s="6">
        <v>472.8</v>
      </c>
      <c r="E97" s="2"/>
      <c r="F97" s="7">
        <f t="shared" si="52"/>
        <v>3.8561022687909455E-4</v>
      </c>
      <c r="G97" s="2"/>
      <c r="H97" s="6">
        <v>700</v>
      </c>
      <c r="I97" s="2"/>
      <c r="J97" s="7">
        <f t="shared" si="53"/>
        <v>4.5323137785576237E-4</v>
      </c>
      <c r="K97" s="2"/>
      <c r="L97" s="6">
        <f t="shared" si="54"/>
        <v>-227.2</v>
      </c>
      <c r="M97" s="2"/>
      <c r="N97" s="7">
        <f t="shared" si="55"/>
        <v>-0.32457142857142857</v>
      </c>
      <c r="O97" s="11"/>
      <c r="P97" s="6">
        <v>938.3</v>
      </c>
      <c r="Q97" s="2"/>
      <c r="R97" s="7">
        <f t="shared" si="56"/>
        <v>7.3641417484034339E-4</v>
      </c>
      <c r="S97" s="2"/>
      <c r="T97" s="6">
        <v>1000</v>
      </c>
      <c r="U97" s="2"/>
      <c r="V97" s="7">
        <f t="shared" si="57"/>
        <v>6.1976876427404935E-4</v>
      </c>
      <c r="W97" s="2"/>
      <c r="X97" s="6">
        <f t="shared" si="58"/>
        <v>-61.700000000000045</v>
      </c>
      <c r="Y97" s="2"/>
      <c r="Z97" s="7">
        <f t="shared" si="59"/>
        <v>-6.1700000000000046E-2</v>
      </c>
    </row>
    <row r="98" spans="1:26" s="29" customFormat="1" outlineLevel="1" collapsed="1" x14ac:dyDescent="0.25">
      <c r="A98" s="28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SUM(OSRRefD22_13x_0)</f>
        <v>0</v>
      </c>
      <c r="E98" s="1"/>
      <c r="F98" s="5">
        <f t="shared" ref="F98:F99" si="60">IF(D$12=0,0,D98/D$12)</f>
        <v>0</v>
      </c>
      <c r="G98" s="1"/>
      <c r="H98" s="1">
        <f>SUM(OSRRefH22_13x_0)</f>
        <v>0</v>
      </c>
      <c r="I98" s="1"/>
      <c r="J98" s="5">
        <f t="shared" ref="J98:J99" si="61">IF(H$12=0,0,H98/H$12)</f>
        <v>0</v>
      </c>
      <c r="K98" s="1"/>
      <c r="L98" s="1">
        <f t="shared" ref="L98:L99" si="62">+D98-H98</f>
        <v>0</v>
      </c>
      <c r="M98" s="1"/>
      <c r="N98" s="5">
        <f t="shared" ref="N98:N99" si="63">IF(H98=0,0,L98/H98)</f>
        <v>0</v>
      </c>
      <c r="O98" s="14"/>
      <c r="P98" s="1">
        <f>SUM(OSRRefP22_13x_0)</f>
        <v>0.16</v>
      </c>
      <c r="Q98" s="1"/>
      <c r="R98" s="5">
        <f t="shared" ref="R98:R99" si="64">IF(P$12=0,0,P98/P$12)</f>
        <v>1.2557419585895232E-7</v>
      </c>
      <c r="S98" s="1"/>
      <c r="T98" s="1">
        <f>SUM(OSRRefT22_13x_0)</f>
        <v>0</v>
      </c>
      <c r="U98" s="1"/>
      <c r="V98" s="5">
        <f t="shared" ref="V98:V99" si="65">IF(T$12=0,0,T98/T$12)</f>
        <v>0</v>
      </c>
      <c r="W98" s="1"/>
      <c r="X98" s="1">
        <f t="shared" ref="X98:X99" si="66">+P98-T98</f>
        <v>0.16</v>
      </c>
      <c r="Y98" s="1"/>
      <c r="Z98" s="5">
        <f t="shared" ref="Z98:Z99" si="67">IF(T98=0,0,X98/T98)</f>
        <v>0</v>
      </c>
    </row>
    <row r="99" spans="1:26" s="24" customFormat="1" hidden="1" outlineLevel="2" x14ac:dyDescent="0.25">
      <c r="A99" s="27"/>
      <c r="B99" s="11" t="str">
        <f>CONCATENATE("          ", "6292", " - ", "TRAVEL/CONFERENCE")</f>
        <v xml:space="preserve">          6292 - TRAVEL/CONFERENCE</v>
      </c>
      <c r="C99" s="11"/>
      <c r="D99" s="6"/>
      <c r="E99" s="2"/>
      <c r="F99" s="7">
        <f t="shared" si="60"/>
        <v>0</v>
      </c>
      <c r="G99" s="2"/>
      <c r="H99" s="6"/>
      <c r="I99" s="2"/>
      <c r="J99" s="7">
        <f t="shared" si="61"/>
        <v>0</v>
      </c>
      <c r="K99" s="2"/>
      <c r="L99" s="6">
        <f t="shared" si="62"/>
        <v>0</v>
      </c>
      <c r="M99" s="2"/>
      <c r="N99" s="7">
        <f t="shared" si="63"/>
        <v>0</v>
      </c>
      <c r="O99" s="11"/>
      <c r="P99" s="6">
        <v>0.16</v>
      </c>
      <c r="Q99" s="2"/>
      <c r="R99" s="7">
        <f t="shared" si="64"/>
        <v>1.2557419585895232E-7</v>
      </c>
      <c r="S99" s="2"/>
      <c r="T99" s="6"/>
      <c r="U99" s="2"/>
      <c r="V99" s="7">
        <f t="shared" si="65"/>
        <v>0</v>
      </c>
      <c r="W99" s="2"/>
      <c r="X99" s="6">
        <f t="shared" si="66"/>
        <v>0.16</v>
      </c>
      <c r="Y99" s="2"/>
      <c r="Z99" s="7">
        <f t="shared" si="67"/>
        <v>0</v>
      </c>
    </row>
    <row r="100" spans="1:26" s="61" customFormat="1" x14ac:dyDescent="0.25">
      <c r="A100" s="36"/>
      <c r="B100" s="36"/>
      <c r="C100" s="36"/>
      <c r="D100" s="1"/>
      <c r="E100" s="1"/>
      <c r="F100" s="5"/>
      <c r="G100" s="1"/>
      <c r="H100" s="1"/>
      <c r="I100" s="1"/>
      <c r="J100" s="5"/>
      <c r="K100" s="1"/>
      <c r="L100" s="1"/>
      <c r="M100" s="1"/>
      <c r="N100" s="5"/>
      <c r="O100" s="36"/>
      <c r="P100" s="1"/>
      <c r="Q100" s="1"/>
      <c r="R100" s="5"/>
      <c r="S100" s="1"/>
      <c r="T100" s="1"/>
      <c r="U100" s="1"/>
      <c r="V100" s="5"/>
      <c r="W100" s="1"/>
      <c r="X100" s="1"/>
      <c r="Y100" s="1"/>
      <c r="Z100" s="5"/>
    </row>
    <row r="101" spans="1:26" s="22" customFormat="1" collapsed="1" x14ac:dyDescent="0.25">
      <c r="A101" s="10"/>
      <c r="B101" s="25" t="s">
        <v>0</v>
      </c>
      <c r="C101" s="10"/>
      <c r="D101" s="4">
        <f>SUM(OSRRefD25x_0)</f>
        <v>1890.48</v>
      </c>
      <c r="E101" s="4"/>
      <c r="F101" s="12">
        <f t="shared" ref="F101:F104" si="68">IF(D$12=0,0,D101/D$12)</f>
        <v>1.5418536838206231E-3</v>
      </c>
      <c r="G101" s="4"/>
      <c r="H101" s="4">
        <f>SUM(OSRRefH25x_0)</f>
        <v>5000</v>
      </c>
      <c r="I101" s="4"/>
      <c r="J101" s="12">
        <f t="shared" ref="J101:J104" si="69">IF(H$12=0,0,H101/H$12)</f>
        <v>3.2373669846840168E-3</v>
      </c>
      <c r="K101" s="4"/>
      <c r="L101" s="4">
        <f t="shared" ref="L101:L104" si="70">+D101-H101</f>
        <v>-3109.52</v>
      </c>
      <c r="M101" s="4"/>
      <c r="N101" s="12">
        <f t="shared" ref="N101:N104" si="71">IF(H101=0,0,L101/H101)</f>
        <v>-0.62190400000000001</v>
      </c>
      <c r="O101" s="10"/>
      <c r="P101" s="4">
        <f>SUM(OSRRefP25x_0)</f>
        <v>3947.41</v>
      </c>
      <c r="Q101" s="4"/>
      <c r="R101" s="12">
        <f t="shared" ref="R101:R104" si="72">IF(P$12=0,0,P101/P$12)</f>
        <v>3.0980802279724183E-3</v>
      </c>
      <c r="S101" s="4"/>
      <c r="T101" s="4">
        <f>SUM(OSRRefT25x_0)</f>
        <v>5700</v>
      </c>
      <c r="U101" s="4"/>
      <c r="V101" s="12">
        <f t="shared" ref="V101:V104" si="73">IF(T$12=0,0,T101/T$12)</f>
        <v>3.5326819563620813E-3</v>
      </c>
      <c r="W101" s="4"/>
      <c r="X101" s="4">
        <f t="shared" ref="X101:X104" si="74">+P101-T101</f>
        <v>-1752.5900000000001</v>
      </c>
      <c r="Y101" s="4"/>
      <c r="Z101" s="12">
        <f t="shared" ref="Z101:Z104" si="75">IF(T101=0,0,X101/T101)</f>
        <v>-0.30747192982456145</v>
      </c>
    </row>
    <row r="102" spans="1:26" s="24" customFormat="1" hidden="1" outlineLevel="1" x14ac:dyDescent="0.25">
      <c r="A102" s="51"/>
      <c r="B102" s="11" t="str">
        <f>CONCATENATE("          ", "9150", " - ", "MISC. INCOME")</f>
        <v xml:space="preserve">          9150 - MISC. INCOME</v>
      </c>
      <c r="C102" s="11"/>
      <c r="D102" s="2">
        <f>--1818.48</f>
        <v>1818.48</v>
      </c>
      <c r="E102" s="2"/>
      <c r="F102" s="23">
        <f t="shared" si="68"/>
        <v>1.4831313142451266E-3</v>
      </c>
      <c r="G102" s="2"/>
      <c r="H102" s="2">
        <v>5000</v>
      </c>
      <c r="I102" s="2"/>
      <c r="J102" s="23">
        <f t="shared" si="69"/>
        <v>3.2373669846840168E-3</v>
      </c>
      <c r="K102" s="2"/>
      <c r="L102" s="2">
        <f t="shared" si="70"/>
        <v>-3181.52</v>
      </c>
      <c r="M102" s="2"/>
      <c r="N102" s="23">
        <f t="shared" si="71"/>
        <v>-0.63630399999999998</v>
      </c>
      <c r="O102" s="11"/>
      <c r="P102" s="2">
        <f>--2401.02</f>
        <v>2401.02</v>
      </c>
      <c r="Q102" s="2"/>
      <c r="R102" s="23">
        <f t="shared" si="72"/>
        <v>1.8844134733828856E-3</v>
      </c>
      <c r="S102" s="2"/>
      <c r="T102" s="2">
        <v>5500</v>
      </c>
      <c r="U102" s="2"/>
      <c r="V102" s="23">
        <f t="shared" si="73"/>
        <v>3.4087282035072716E-3</v>
      </c>
      <c r="W102" s="2"/>
      <c r="X102" s="2">
        <f t="shared" si="74"/>
        <v>-3098.98</v>
      </c>
      <c r="Y102" s="2"/>
      <c r="Z102" s="23">
        <f t="shared" si="75"/>
        <v>-0.56345090909090911</v>
      </c>
    </row>
    <row r="103" spans="1:26" s="24" customFormat="1" hidden="1" outlineLevel="1" x14ac:dyDescent="0.25">
      <c r="A103" s="51"/>
      <c r="B103" s="11" t="str">
        <f>CONCATENATE("          ", "9151", " - ", "MISC. INCOME")</f>
        <v xml:space="preserve">          9151 - MISC. INCOME</v>
      </c>
      <c r="C103" s="11"/>
      <c r="D103" s="2">
        <f>0</f>
        <v>0</v>
      </c>
      <c r="E103" s="2"/>
      <c r="F103" s="23">
        <f t="shared" si="68"/>
        <v>0</v>
      </c>
      <c r="G103" s="2"/>
      <c r="H103" s="2"/>
      <c r="I103" s="2"/>
      <c r="J103" s="23">
        <f t="shared" si="69"/>
        <v>0</v>
      </c>
      <c r="K103" s="2"/>
      <c r="L103" s="2">
        <f t="shared" si="70"/>
        <v>0</v>
      </c>
      <c r="M103" s="2"/>
      <c r="N103" s="23">
        <f t="shared" si="71"/>
        <v>0</v>
      </c>
      <c r="O103" s="11"/>
      <c r="P103" s="2">
        <f>0</f>
        <v>0</v>
      </c>
      <c r="Q103" s="2"/>
      <c r="R103" s="23">
        <f t="shared" si="72"/>
        <v>0</v>
      </c>
      <c r="S103" s="2"/>
      <c r="T103" s="2">
        <v>200</v>
      </c>
      <c r="U103" s="2"/>
      <c r="V103" s="23">
        <f t="shared" si="73"/>
        <v>1.2395375285480988E-4</v>
      </c>
      <c r="W103" s="2"/>
      <c r="X103" s="2">
        <f t="shared" si="74"/>
        <v>-200</v>
      </c>
      <c r="Y103" s="2"/>
      <c r="Z103" s="23">
        <f t="shared" si="75"/>
        <v>-1</v>
      </c>
    </row>
    <row r="104" spans="1:26" s="24" customFormat="1" hidden="1" outlineLevel="1" x14ac:dyDescent="0.25">
      <c r="A104" s="51"/>
      <c r="B104" s="11" t="str">
        <f>CONCATENATE("          ", "9152", " - ", "MISC. INCOME")</f>
        <v xml:space="preserve">          9152 - MISC. INCOME</v>
      </c>
      <c r="C104" s="11"/>
      <c r="D104" s="2">
        <f>--72</f>
        <v>72</v>
      </c>
      <c r="E104" s="2"/>
      <c r="F104" s="23">
        <f t="shared" si="68"/>
        <v>5.8722369575496628E-5</v>
      </c>
      <c r="G104" s="2"/>
      <c r="H104" s="2"/>
      <c r="I104" s="2"/>
      <c r="J104" s="23">
        <f t="shared" si="69"/>
        <v>0</v>
      </c>
      <c r="K104" s="2"/>
      <c r="L104" s="2">
        <f t="shared" si="70"/>
        <v>72</v>
      </c>
      <c r="M104" s="2"/>
      <c r="N104" s="23">
        <f t="shared" si="71"/>
        <v>0</v>
      </c>
      <c r="O104" s="11"/>
      <c r="P104" s="2">
        <f>--1546.39</f>
        <v>1546.39</v>
      </c>
      <c r="Q104" s="2"/>
      <c r="R104" s="23">
        <f t="shared" si="72"/>
        <v>1.213666754589533E-3</v>
      </c>
      <c r="S104" s="2"/>
      <c r="T104" s="2"/>
      <c r="U104" s="2"/>
      <c r="V104" s="23">
        <f t="shared" si="73"/>
        <v>0</v>
      </c>
      <c r="W104" s="2"/>
      <c r="X104" s="2">
        <f t="shared" si="74"/>
        <v>1546.39</v>
      </c>
      <c r="Y104" s="2"/>
      <c r="Z104" s="23">
        <f t="shared" si="75"/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2" customFormat="1" x14ac:dyDescent="0.25">
      <c r="A106" s="10"/>
      <c r="B106" s="26" t="s">
        <v>3</v>
      </c>
      <c r="C106" s="26"/>
      <c r="D106" s="21">
        <f>+D46-D48+D101</f>
        <v>287246.44000000006</v>
      </c>
      <c r="E106" s="13"/>
      <c r="F106" s="20">
        <f>IF(D$12=0,0,D106/D$12)</f>
        <v>0.23427488345730169</v>
      </c>
      <c r="G106" s="13"/>
      <c r="H106" s="21">
        <f>+H46-H48+H101</f>
        <v>357246.56145113846</v>
      </c>
      <c r="I106" s="13"/>
      <c r="J106" s="20">
        <f>IF(H$12=0,0,H106/H$12)</f>
        <v>0.2313076446867611</v>
      </c>
      <c r="K106" s="16"/>
      <c r="L106" s="21">
        <f>+D106-H106</f>
        <v>-70000.121451138402</v>
      </c>
      <c r="M106" s="16"/>
      <c r="N106" s="20">
        <f>IF(H106=0,0,L106/H106)</f>
        <v>-0.19594344356121254</v>
      </c>
      <c r="O106" s="25"/>
      <c r="P106" s="21">
        <f>+P46-P48+P101</f>
        <v>266380.53999999975</v>
      </c>
      <c r="Q106" s="13"/>
      <c r="R106" s="20">
        <f>IF(P$12=0,0,P106/P$12)</f>
        <v>0.20906576314358405</v>
      </c>
      <c r="S106" s="13"/>
      <c r="T106" s="21">
        <f>+T46-T48+T101</f>
        <v>330865.16733381152</v>
      </c>
      <c r="U106" s="13"/>
      <c r="V106" s="20">
        <f>IF(T$12=0,0,T106/T$12)</f>
        <v>0.20505989589980292</v>
      </c>
      <c r="W106" s="16"/>
      <c r="X106" s="21">
        <f>+P106-T106</f>
        <v>-64484.627333811775</v>
      </c>
      <c r="Y106" s="16"/>
      <c r="Z106" s="20">
        <f>IF(T106=0,0,X106/T106)</f>
        <v>-0.19489699642136374</v>
      </c>
    </row>
    <row r="107" spans="1:26" x14ac:dyDescent="0.25">
      <c r="A107" s="9"/>
      <c r="B107" s="10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2" customFormat="1" x14ac:dyDescent="0.25">
      <c r="A108" s="52"/>
      <c r="B108" s="10" t="s">
        <v>14</v>
      </c>
      <c r="C108" s="10"/>
      <c r="D108" s="4">
        <v>191648.44999999998</v>
      </c>
      <c r="E108" s="4"/>
      <c r="F108" s="12">
        <f>IF(D$12=0,0,D108/D$12)</f>
        <v>0.15630626540932063</v>
      </c>
      <c r="G108" s="4"/>
      <c r="H108" s="4">
        <v>229955</v>
      </c>
      <c r="I108" s="4"/>
      <c r="J108" s="12">
        <f>IF(H$12=0,0,H108/H$12)</f>
        <v>0.14888974499260263</v>
      </c>
      <c r="K108" s="4"/>
      <c r="L108" s="4">
        <f>+D108-H108</f>
        <v>-38306.550000000017</v>
      </c>
      <c r="M108" s="4"/>
      <c r="N108" s="12">
        <f>IF(H108=0,0,L108/H108)</f>
        <v>-0.16658280968015488</v>
      </c>
      <c r="O108" s="10"/>
      <c r="P108" s="4">
        <v>215122.81</v>
      </c>
      <c r="Q108" s="4"/>
      <c r="R108" s="12">
        <f>IF(P$12=0,0,P108/P$12)</f>
        <v>0.16883671172917616</v>
      </c>
      <c r="S108" s="4"/>
      <c r="T108" s="4">
        <v>263491</v>
      </c>
      <c r="U108" s="4"/>
      <c r="V108" s="12">
        <f>IF(T$12=0,0,T108/T$12)</f>
        <v>0.16330349146733353</v>
      </c>
      <c r="W108" s="4"/>
      <c r="X108" s="4">
        <f>+P108-T108</f>
        <v>-48368.19</v>
      </c>
      <c r="Y108" s="4"/>
      <c r="Z108" s="12">
        <f>IF(T108=0,0,X108/T108)</f>
        <v>-0.18356676319115264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2" customFormat="1" ht="15.75" thickBot="1" x14ac:dyDescent="0.3">
      <c r="A110" s="10"/>
      <c r="B110" s="26" t="s">
        <v>4</v>
      </c>
      <c r="C110" s="26"/>
      <c r="D110" s="33">
        <f>+D106-D108</f>
        <v>95597.990000000078</v>
      </c>
      <c r="E110" s="13"/>
      <c r="F110" s="31">
        <f>IF(D$12=0,0,D110/D$12)</f>
        <v>7.7968618047981053E-2</v>
      </c>
      <c r="G110" s="13"/>
      <c r="H110" s="33">
        <f>+H106-H108</f>
        <v>127291.56145113846</v>
      </c>
      <c r="I110" s="13"/>
      <c r="J110" s="31">
        <f>IF(H$12=0,0,H110/H$12)</f>
        <v>8.241789969415847E-2</v>
      </c>
      <c r="K110" s="16"/>
      <c r="L110" s="33">
        <f>D110-H110</f>
        <v>-31693.571451138385</v>
      </c>
      <c r="M110" s="16"/>
      <c r="N110" s="31">
        <f>IF(H110=0,0,L110/H110)</f>
        <v>-0.24898407317679208</v>
      </c>
      <c r="O110" s="25"/>
      <c r="P110" s="33">
        <f>+P106-P108</f>
        <v>51257.729999999749</v>
      </c>
      <c r="Q110" s="13"/>
      <c r="R110" s="31">
        <f>IF(P$12=0,0,P110/P$12)</f>
        <v>4.0229051414407899E-2</v>
      </c>
      <c r="S110" s="13"/>
      <c r="T110" s="33">
        <f>+T106-T108</f>
        <v>67374.167333811522</v>
      </c>
      <c r="U110" s="13"/>
      <c r="V110" s="31">
        <f>IF(T$12=0,0,T110/T$12)</f>
        <v>4.1756404432469391E-2</v>
      </c>
      <c r="W110" s="16"/>
      <c r="X110" s="33">
        <f>P110-T110</f>
        <v>-16116.437333811773</v>
      </c>
      <c r="Y110" s="16"/>
      <c r="Z110" s="31">
        <f>IF(T110=0,0,X110/T110)</f>
        <v>-0.23920796310493009</v>
      </c>
    </row>
    <row r="111" spans="1:26" ht="15.75" thickTop="1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2" customFormat="1" ht="15.75" thickBot="1" x14ac:dyDescent="0.3">
      <c r="A113" s="10"/>
      <c r="B113" s="26" t="s">
        <v>5</v>
      </c>
      <c r="C113" s="26"/>
      <c r="D113" s="32">
        <f>SUM(D110:D112)</f>
        <v>95597.990000000078</v>
      </c>
      <c r="E113" s="13"/>
      <c r="F113" s="35">
        <f>IF(D$12=0,0,D113/D$12)</f>
        <v>7.7968618047981053E-2</v>
      </c>
      <c r="G113" s="13"/>
      <c r="H113" s="32">
        <f>SUM(H110:H112)</f>
        <v>127291.56145113846</v>
      </c>
      <c r="I113" s="13"/>
      <c r="J113" s="35">
        <f>IF(H$12=0,0,H113/H$12)</f>
        <v>8.241789969415847E-2</v>
      </c>
      <c r="K113" s="16"/>
      <c r="L113" s="32">
        <f>+D113-H113</f>
        <v>-31693.571451138385</v>
      </c>
      <c r="M113" s="16"/>
      <c r="N113" s="35">
        <f>IF(H113=0,0,L113/H113)</f>
        <v>-0.24898407317679208</v>
      </c>
      <c r="O113" s="25"/>
      <c r="P113" s="32">
        <f>SUM(P110:P112)</f>
        <v>51257.729999999749</v>
      </c>
      <c r="Q113" s="13"/>
      <c r="R113" s="35">
        <f>IF(P$12=0,0,P113/P$12)</f>
        <v>4.0229051414407899E-2</v>
      </c>
      <c r="S113" s="13"/>
      <c r="T113" s="32">
        <f>SUM(T110:T112)</f>
        <v>67374.167333811522</v>
      </c>
      <c r="U113" s="13"/>
      <c r="V113" s="35">
        <f>IF(T$12=0,0,T113/T$12)</f>
        <v>4.1756404432469391E-2</v>
      </c>
      <c r="W113" s="16"/>
      <c r="X113" s="32">
        <f>+P113-T113</f>
        <v>-16116.437333811773</v>
      </c>
      <c r="Y113" s="16"/>
      <c r="Z113" s="35">
        <f>IF(T113=0,0,X113/T113)</f>
        <v>-0.23920796310493009</v>
      </c>
    </row>
    <row r="114" spans="1:26" ht="15.75" thickTop="1" x14ac:dyDescent="0.25">
      <c r="A114" s="9"/>
      <c r="C114" s="9"/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6" x14ac:dyDescent="0.25">
      <c r="A115" s="9"/>
      <c r="B115" s="59">
        <v>44113.688977812497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62" t="s">
        <v>314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3"/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","311", " - ", "Textbooks")</f>
        <v>Department 311 - Textbooks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814061.74</v>
      </c>
      <c r="E12" s="4"/>
      <c r="F12" s="12"/>
      <c r="G12" s="4"/>
      <c r="H12" s="4">
        <f>SUM(OSRRefH13x_0)</f>
        <v>983891.00000000012</v>
      </c>
      <c r="I12" s="4"/>
      <c r="J12" s="12"/>
      <c r="K12" s="4"/>
      <c r="L12" s="4">
        <f t="shared" ref="L12:L30" si="0">+D12-H12</f>
        <v>-169829.26000000013</v>
      </c>
      <c r="M12" s="4"/>
      <c r="N12" s="12">
        <f t="shared" ref="N12:N30" si="1">IF(H12=0,0,L12/H12)</f>
        <v>-0.17260983178014649</v>
      </c>
      <c r="O12" s="10"/>
      <c r="P12" s="4">
        <f>SUM(OSRRefP13x_0)</f>
        <v>854800.66</v>
      </c>
      <c r="Q12" s="4"/>
      <c r="R12" s="12"/>
      <c r="S12" s="4"/>
      <c r="T12" s="4">
        <f>SUM(OSRRefT13x_0)</f>
        <v>1039794.0000000001</v>
      </c>
      <c r="U12" s="4"/>
      <c r="V12" s="12"/>
      <c r="W12" s="4"/>
      <c r="X12" s="4">
        <f t="shared" ref="X12:X30" si="2">+P12-T12</f>
        <v>-184993.34000000008</v>
      </c>
      <c r="Y12" s="4"/>
      <c r="Z12" s="12">
        <f t="shared" ref="Z12:Z30" si="3">IF(T12=0,0,X12/T12)</f>
        <v>-0.1779134520876251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-3258.19</f>
        <v>-3258.19</v>
      </c>
      <c r="E13" s="2"/>
      <c r="F13" s="23"/>
      <c r="G13" s="2"/>
      <c r="H13" s="2">
        <v>983891.00000000012</v>
      </c>
      <c r="I13" s="2"/>
      <c r="J13" s="23"/>
      <c r="K13" s="2"/>
      <c r="L13" s="2">
        <f t="shared" si="0"/>
        <v>-987149.19000000006</v>
      </c>
      <c r="M13" s="2"/>
      <c r="N13" s="23">
        <f t="shared" si="1"/>
        <v>-1.0033115355257849</v>
      </c>
      <c r="O13" s="11"/>
      <c r="P13" s="2">
        <f>-4028.26</f>
        <v>-4028.26</v>
      </c>
      <c r="Q13" s="2"/>
      <c r="R13" s="23"/>
      <c r="S13" s="2"/>
      <c r="T13" s="2">
        <v>1039794.0000000001</v>
      </c>
      <c r="U13" s="2"/>
      <c r="V13" s="23"/>
      <c r="W13" s="2"/>
      <c r="X13" s="2">
        <f t="shared" si="2"/>
        <v>-1043822.2600000001</v>
      </c>
      <c r="Y13" s="2"/>
      <c r="Z13" s="23">
        <f t="shared" si="3"/>
        <v>-1.0038740942917539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--426911.15</f>
        <v>426911.15</v>
      </c>
      <c r="E14" s="2"/>
      <c r="F14" s="23"/>
      <c r="G14" s="2"/>
      <c r="H14" s="2"/>
      <c r="I14" s="2"/>
      <c r="J14" s="23"/>
      <c r="K14" s="2"/>
      <c r="L14" s="2">
        <f t="shared" si="0"/>
        <v>426911.15</v>
      </c>
      <c r="M14" s="2"/>
      <c r="N14" s="23">
        <f t="shared" si="1"/>
        <v>0</v>
      </c>
      <c r="O14" s="11"/>
      <c r="P14" s="2">
        <f>--436946.05</f>
        <v>436946.05</v>
      </c>
      <c r="Q14" s="2"/>
      <c r="R14" s="23"/>
      <c r="S14" s="2"/>
      <c r="T14" s="2"/>
      <c r="U14" s="2"/>
      <c r="V14" s="23"/>
      <c r="W14" s="2"/>
      <c r="X14" s="2">
        <f t="shared" si="2"/>
        <v>436946.05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--149234.35</f>
        <v>149234.35</v>
      </c>
      <c r="E15" s="2"/>
      <c r="F15" s="23"/>
      <c r="G15" s="2"/>
      <c r="H15" s="2"/>
      <c r="I15" s="2"/>
      <c r="J15" s="23"/>
      <c r="K15" s="2"/>
      <c r="L15" s="2">
        <f t="shared" si="0"/>
        <v>149234.35</v>
      </c>
      <c r="M15" s="2"/>
      <c r="N15" s="23">
        <f t="shared" si="1"/>
        <v>0</v>
      </c>
      <c r="O15" s="11"/>
      <c r="P15" s="2">
        <f>--159915.3</f>
        <v>159915.29999999999</v>
      </c>
      <c r="Q15" s="2"/>
      <c r="R15" s="23"/>
      <c r="S15" s="2"/>
      <c r="T15" s="2"/>
      <c r="U15" s="2"/>
      <c r="V15" s="23"/>
      <c r="W15" s="2"/>
      <c r="X15" s="2">
        <f t="shared" si="2"/>
        <v>159915.29999999999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23"/>
      <c r="G16" s="2"/>
      <c r="H16" s="2"/>
      <c r="I16" s="2"/>
      <c r="J16" s="23"/>
      <c r="K16" s="2"/>
      <c r="L16" s="2">
        <f t="shared" si="0"/>
        <v>9055.84</v>
      </c>
      <c r="M16" s="2"/>
      <c r="N16" s="23">
        <f t="shared" si="1"/>
        <v>0</v>
      </c>
      <c r="O16" s="11"/>
      <c r="P16" s="2">
        <f>--9055.84</f>
        <v>9055.84</v>
      </c>
      <c r="Q16" s="2"/>
      <c r="R16" s="23"/>
      <c r="S16" s="2"/>
      <c r="T16" s="2"/>
      <c r="U16" s="2"/>
      <c r="V16" s="23"/>
      <c r="W16" s="2"/>
      <c r="X16" s="2">
        <f t="shared" si="2"/>
        <v>9055.84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23"/>
      <c r="G17" s="2"/>
      <c r="H17" s="2"/>
      <c r="I17" s="2"/>
      <c r="J17" s="23"/>
      <c r="K17" s="2"/>
      <c r="L17" s="2">
        <f t="shared" si="0"/>
        <v>1820.89</v>
      </c>
      <c r="M17" s="2"/>
      <c r="N17" s="23">
        <f t="shared" si="1"/>
        <v>0</v>
      </c>
      <c r="O17" s="11"/>
      <c r="P17" s="2">
        <f>--1820.89</f>
        <v>1820.89</v>
      </c>
      <c r="Q17" s="2"/>
      <c r="R17" s="23"/>
      <c r="S17" s="2"/>
      <c r="T17" s="2"/>
      <c r="U17" s="2"/>
      <c r="V17" s="23"/>
      <c r="W17" s="2"/>
      <c r="X17" s="2">
        <f t="shared" si="2"/>
        <v>1820.89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23"/>
      <c r="G18" s="2"/>
      <c r="H18" s="2"/>
      <c r="I18" s="2"/>
      <c r="J18" s="23"/>
      <c r="K18" s="2"/>
      <c r="L18" s="2">
        <f t="shared" si="0"/>
        <v>39.9</v>
      </c>
      <c r="M18" s="2"/>
      <c r="N18" s="23">
        <f t="shared" si="1"/>
        <v>0</v>
      </c>
      <c r="O18" s="11"/>
      <c r="P18" s="2">
        <f>--39.9</f>
        <v>39.9</v>
      </c>
      <c r="Q18" s="2"/>
      <c r="R18" s="23"/>
      <c r="S18" s="2"/>
      <c r="T18" s="2"/>
      <c r="U18" s="2"/>
      <c r="V18" s="23"/>
      <c r="W18" s="2"/>
      <c r="X18" s="2">
        <f t="shared" si="2"/>
        <v>39.9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23"/>
      <c r="G19" s="2"/>
      <c r="H19" s="2"/>
      <c r="I19" s="2"/>
      <c r="J19" s="23"/>
      <c r="K19" s="2"/>
      <c r="L19" s="2">
        <f t="shared" si="0"/>
        <v>175.09</v>
      </c>
      <c r="M19" s="2"/>
      <c r="N19" s="23">
        <f t="shared" si="1"/>
        <v>0</v>
      </c>
      <c r="O19" s="11"/>
      <c r="P19" s="2">
        <f>--206.93</f>
        <v>206.93</v>
      </c>
      <c r="Q19" s="2"/>
      <c r="R19" s="23"/>
      <c r="S19" s="2"/>
      <c r="T19" s="2"/>
      <c r="U19" s="2"/>
      <c r="V19" s="23"/>
      <c r="W19" s="2"/>
      <c r="X19" s="2">
        <f t="shared" si="2"/>
        <v>206.93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23"/>
      <c r="G20" s="2"/>
      <c r="H20" s="2"/>
      <c r="I20" s="2"/>
      <c r="J20" s="23"/>
      <c r="K20" s="2"/>
      <c r="L20" s="2">
        <f t="shared" si="0"/>
        <v>118.03</v>
      </c>
      <c r="M20" s="2"/>
      <c r="N20" s="23">
        <f t="shared" si="1"/>
        <v>0</v>
      </c>
      <c r="O20" s="11"/>
      <c r="P20" s="2">
        <f>--135.02</f>
        <v>135.02000000000001</v>
      </c>
      <c r="Q20" s="2"/>
      <c r="R20" s="23"/>
      <c r="S20" s="2"/>
      <c r="T20" s="2"/>
      <c r="U20" s="2"/>
      <c r="V20" s="23"/>
      <c r="W20" s="2"/>
      <c r="X20" s="2">
        <f t="shared" si="2"/>
        <v>135.02000000000001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--41238.82</f>
        <v>41238.82</v>
      </c>
      <c r="E21" s="2"/>
      <c r="F21" s="23"/>
      <c r="G21" s="2"/>
      <c r="H21" s="2"/>
      <c r="I21" s="2"/>
      <c r="J21" s="23"/>
      <c r="K21" s="2"/>
      <c r="L21" s="2">
        <f t="shared" si="0"/>
        <v>41238.82</v>
      </c>
      <c r="M21" s="2"/>
      <c r="N21" s="23">
        <f t="shared" si="1"/>
        <v>0</v>
      </c>
      <c r="O21" s="11"/>
      <c r="P21" s="2">
        <f>--51580.68</f>
        <v>51580.68</v>
      </c>
      <c r="Q21" s="2"/>
      <c r="R21" s="23"/>
      <c r="S21" s="2"/>
      <c r="T21" s="2"/>
      <c r="U21" s="2"/>
      <c r="V21" s="23"/>
      <c r="W21" s="2"/>
      <c r="X21" s="2">
        <f t="shared" si="2"/>
        <v>51580.68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--17373.3</f>
        <v>17373.3</v>
      </c>
      <c r="E22" s="2"/>
      <c r="F22" s="23"/>
      <c r="G22" s="2"/>
      <c r="H22" s="2"/>
      <c r="I22" s="2"/>
      <c r="J22" s="23"/>
      <c r="K22" s="2"/>
      <c r="L22" s="2">
        <f t="shared" si="0"/>
        <v>17373.3</v>
      </c>
      <c r="M22" s="2"/>
      <c r="N22" s="23">
        <f t="shared" si="1"/>
        <v>0</v>
      </c>
      <c r="O22" s="11"/>
      <c r="P22" s="2">
        <f>--21563.74</f>
        <v>21563.74</v>
      </c>
      <c r="Q22" s="2"/>
      <c r="R22" s="23"/>
      <c r="S22" s="2"/>
      <c r="T22" s="2"/>
      <c r="U22" s="2"/>
      <c r="V22" s="23"/>
      <c r="W22" s="2"/>
      <c r="X22" s="2">
        <f t="shared" si="2"/>
        <v>21563.74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"4104", " - ", "NON-TAXABLE SALES-DIGITAL TEXT")</f>
        <v xml:space="preserve">          4104 - NON-TAXABLE SALES-DIGITAL TEXT</v>
      </c>
      <c r="C23" s="11"/>
      <c r="D23" s="2">
        <f>--205404.66</f>
        <v>205404.66</v>
      </c>
      <c r="E23" s="2"/>
      <c r="F23" s="23"/>
      <c r="G23" s="2"/>
      <c r="H23" s="2"/>
      <c r="I23" s="2"/>
      <c r="J23" s="23"/>
      <c r="K23" s="2"/>
      <c r="L23" s="2">
        <f t="shared" si="0"/>
        <v>205404.66</v>
      </c>
      <c r="M23" s="2"/>
      <c r="N23" s="23">
        <f t="shared" si="1"/>
        <v>0</v>
      </c>
      <c r="O23" s="11"/>
      <c r="P23" s="2">
        <f>--212890.18</f>
        <v>212890.18</v>
      </c>
      <c r="Q23" s="2"/>
      <c r="R23" s="23"/>
      <c r="S23" s="2"/>
      <c r="T23" s="2"/>
      <c r="U23" s="2"/>
      <c r="V23" s="23"/>
      <c r="W23" s="2"/>
      <c r="X23" s="2">
        <f t="shared" si="2"/>
        <v>212890.18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"4118", " - ", "NON-TAXABLE SALES-STUDY GUIDES")</f>
        <v xml:space="preserve">          4118 - NON-TAXABLE SALES-STUDY GUIDES</v>
      </c>
      <c r="C24" s="11"/>
      <c r="D24" s="2">
        <f>--47.87</f>
        <v>47.87</v>
      </c>
      <c r="E24" s="2"/>
      <c r="F24" s="23"/>
      <c r="G24" s="2"/>
      <c r="H24" s="2"/>
      <c r="I24" s="2"/>
      <c r="J24" s="23"/>
      <c r="K24" s="2"/>
      <c r="L24" s="2">
        <f t="shared" si="0"/>
        <v>47.87</v>
      </c>
      <c r="M24" s="2"/>
      <c r="N24" s="23">
        <f t="shared" si="1"/>
        <v>0</v>
      </c>
      <c r="O24" s="11"/>
      <c r="P24" s="2">
        <f>--101.83</f>
        <v>101.83</v>
      </c>
      <c r="Q24" s="2"/>
      <c r="R24" s="23"/>
      <c r="S24" s="2"/>
      <c r="T24" s="2"/>
      <c r="U24" s="2"/>
      <c r="V24" s="23"/>
      <c r="W24" s="2"/>
      <c r="X24" s="2">
        <f t="shared" si="2"/>
        <v>101.83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"4201", " - ", "SALES RETURN TAXABLE-NEW TEXT")</f>
        <v xml:space="preserve">          4201 - SALES RETURN TAXABLE-NEW TEXT</v>
      </c>
      <c r="C25" s="11"/>
      <c r="D25" s="2">
        <f>-18222.39</f>
        <v>-18222.39</v>
      </c>
      <c r="E25" s="2"/>
      <c r="F25" s="23"/>
      <c r="G25" s="2"/>
      <c r="H25" s="2"/>
      <c r="I25" s="2"/>
      <c r="J25" s="23"/>
      <c r="K25" s="2"/>
      <c r="L25" s="2">
        <f t="shared" si="0"/>
        <v>-18222.39</v>
      </c>
      <c r="M25" s="2"/>
      <c r="N25" s="23">
        <f t="shared" si="1"/>
        <v>0</v>
      </c>
      <c r="O25" s="11"/>
      <c r="P25" s="2">
        <f>-18855.79</f>
        <v>-18855.79</v>
      </c>
      <c r="Q25" s="2"/>
      <c r="R25" s="23"/>
      <c r="S25" s="2"/>
      <c r="T25" s="2"/>
      <c r="U25" s="2"/>
      <c r="V25" s="23"/>
      <c r="W25" s="2"/>
      <c r="X25" s="2">
        <f t="shared" si="2"/>
        <v>-18855.79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"4202", " - ", "SALES RETURN TAXABLE-USED TEXT")</f>
        <v xml:space="preserve">          4202 - SALES RETURN TAXABLE-USED TEXT</v>
      </c>
      <c r="C26" s="11"/>
      <c r="D26" s="2">
        <f>-8869.4</f>
        <v>-8869.4</v>
      </c>
      <c r="E26" s="2"/>
      <c r="F26" s="23"/>
      <c r="G26" s="2"/>
      <c r="H26" s="2"/>
      <c r="I26" s="2"/>
      <c r="J26" s="23"/>
      <c r="K26" s="2"/>
      <c r="L26" s="2">
        <f t="shared" si="0"/>
        <v>-8869.4</v>
      </c>
      <c r="M26" s="2"/>
      <c r="N26" s="23">
        <f t="shared" si="1"/>
        <v>0</v>
      </c>
      <c r="O26" s="11"/>
      <c r="P26" s="2">
        <f>-9047.75</f>
        <v>-9047.75</v>
      </c>
      <c r="Q26" s="2"/>
      <c r="R26" s="23"/>
      <c r="S26" s="2"/>
      <c r="T26" s="2"/>
      <c r="U26" s="2"/>
      <c r="V26" s="23"/>
      <c r="W26" s="2"/>
      <c r="X26" s="2">
        <f t="shared" si="2"/>
        <v>-9047.75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"4204", " - ", "SALES RETURN TAXABLE-DIGITAL T")</f>
        <v xml:space="preserve">          4204 - SALES RETURN TAXABLE-DIGITAL T</v>
      </c>
      <c r="C27" s="11"/>
      <c r="D27" s="2">
        <f>-1141.08</f>
        <v>-1141.08</v>
      </c>
      <c r="E27" s="2"/>
      <c r="F27" s="23"/>
      <c r="G27" s="2"/>
      <c r="H27" s="2"/>
      <c r="I27" s="2"/>
      <c r="J27" s="23"/>
      <c r="K27" s="2"/>
      <c r="L27" s="2">
        <f t="shared" si="0"/>
        <v>-1141.08</v>
      </c>
      <c r="M27" s="2"/>
      <c r="N27" s="23">
        <f t="shared" si="1"/>
        <v>0</v>
      </c>
      <c r="O27" s="11"/>
      <c r="P27" s="2">
        <f>-1141.08</f>
        <v>-1141.08</v>
      </c>
      <c r="Q27" s="2"/>
      <c r="R27" s="23"/>
      <c r="S27" s="2"/>
      <c r="T27" s="2"/>
      <c r="U27" s="2"/>
      <c r="V27" s="23"/>
      <c r="W27" s="2"/>
      <c r="X27" s="2">
        <f t="shared" si="2"/>
        <v>-1141.08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"4301", " - ", "SALES RETURN NON TAXABLE-NEW T")</f>
        <v xml:space="preserve">          4301 - SALES RETURN NON TAXABLE-NEW T</v>
      </c>
      <c r="C28" s="11"/>
      <c r="D28" s="2">
        <f>-20.25</f>
        <v>-20.25</v>
      </c>
      <c r="E28" s="2"/>
      <c r="F28" s="23"/>
      <c r="G28" s="2"/>
      <c r="H28" s="2"/>
      <c r="I28" s="2"/>
      <c r="J28" s="23"/>
      <c r="K28" s="2"/>
      <c r="L28" s="2">
        <f t="shared" si="0"/>
        <v>-20.25</v>
      </c>
      <c r="M28" s="2"/>
      <c r="N28" s="23">
        <f t="shared" si="1"/>
        <v>0</v>
      </c>
      <c r="O28" s="11"/>
      <c r="P28" s="2">
        <f>-20.25</f>
        <v>-20.25</v>
      </c>
      <c r="Q28" s="2"/>
      <c r="R28" s="23"/>
      <c r="S28" s="2"/>
      <c r="T28" s="2"/>
      <c r="U28" s="2"/>
      <c r="V28" s="23"/>
      <c r="W28" s="2"/>
      <c r="X28" s="2">
        <f t="shared" si="2"/>
        <v>-20.25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"4302", " - ", "SALES RETURN NON TAXABLE-TEXT")</f>
        <v xml:space="preserve">          4302 - SALES RETURN NON TAXABLE-TEXT</v>
      </c>
      <c r="C29" s="11"/>
      <c r="D29" s="2">
        <f>-346.17</f>
        <v>-346.17</v>
      </c>
      <c r="E29" s="2"/>
      <c r="F29" s="23"/>
      <c r="G29" s="2"/>
      <c r="H29" s="2"/>
      <c r="I29" s="2"/>
      <c r="J29" s="23"/>
      <c r="K29" s="2"/>
      <c r="L29" s="2">
        <f t="shared" si="0"/>
        <v>-346.17</v>
      </c>
      <c r="M29" s="2"/>
      <c r="N29" s="23">
        <f t="shared" si="1"/>
        <v>0</v>
      </c>
      <c r="O29" s="11"/>
      <c r="P29" s="2">
        <f>-409.84</f>
        <v>-409.84</v>
      </c>
      <c r="Q29" s="2"/>
      <c r="R29" s="23"/>
      <c r="S29" s="2"/>
      <c r="T29" s="2"/>
      <c r="U29" s="2"/>
      <c r="V29" s="23"/>
      <c r="W29" s="2"/>
      <c r="X29" s="2">
        <f t="shared" si="2"/>
        <v>-409.84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"4304", " - ", "SALES RETURN NON TAXABLE-DIGIT")</f>
        <v xml:space="preserve">          4304 - SALES RETURN NON TAXABLE-DIGIT</v>
      </c>
      <c r="C30" s="11"/>
      <c r="D30" s="2">
        <f>-5500.68</f>
        <v>-5500.68</v>
      </c>
      <c r="E30" s="2"/>
      <c r="F30" s="23"/>
      <c r="G30" s="2"/>
      <c r="H30" s="2"/>
      <c r="I30" s="2"/>
      <c r="J30" s="23"/>
      <c r="K30" s="2"/>
      <c r="L30" s="2">
        <f t="shared" si="0"/>
        <v>-5500.68</v>
      </c>
      <c r="M30" s="2"/>
      <c r="N30" s="23">
        <f t="shared" si="1"/>
        <v>0</v>
      </c>
      <c r="O30" s="11"/>
      <c r="P30" s="2">
        <f>-5952.73</f>
        <v>-5952.73</v>
      </c>
      <c r="Q30" s="2"/>
      <c r="R30" s="23"/>
      <c r="S30" s="2"/>
      <c r="T30" s="2"/>
      <c r="U30" s="2"/>
      <c r="V30" s="23"/>
      <c r="W30" s="2"/>
      <c r="X30" s="2">
        <f t="shared" si="2"/>
        <v>-5952.73</v>
      </c>
      <c r="Y30" s="2"/>
      <c r="Z30" s="23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2" customFormat="1" collapsed="1" x14ac:dyDescent="0.25">
      <c r="A32" s="10"/>
      <c r="B32" s="25" t="s">
        <v>8</v>
      </c>
      <c r="C32" s="10"/>
      <c r="D32" s="4">
        <f>SUM(OSRRefD16x_0)</f>
        <v>581368.00000000012</v>
      </c>
      <c r="E32" s="4"/>
      <c r="F32" s="12">
        <f t="shared" ref="F32:F43" si="4">IF(D$12=0,0,D32/D$12)</f>
        <v>0.71415713505955969</v>
      </c>
      <c r="G32" s="4"/>
      <c r="H32" s="4">
        <f>SUM(OSRRefH16x_0)</f>
        <v>715410</v>
      </c>
      <c r="I32" s="4"/>
      <c r="J32" s="12">
        <f t="shared" ref="J32:J43" si="5">IF(H$12=0,0,H32/H$12)</f>
        <v>0.72712322808115926</v>
      </c>
      <c r="K32" s="4"/>
      <c r="L32" s="4">
        <f t="shared" ref="L32:L43" si="6">+D32-H32</f>
        <v>-134041.99999999988</v>
      </c>
      <c r="M32" s="4"/>
      <c r="N32" s="12">
        <f t="shared" ref="N32:N43" si="7">IF(H32=0,0,L32/H32)</f>
        <v>-0.18736388923833869</v>
      </c>
      <c r="O32" s="10"/>
      <c r="P32" s="4">
        <f>SUM(OSRRefP16x_0)</f>
        <v>607456</v>
      </c>
      <c r="Q32" s="4"/>
      <c r="R32" s="12">
        <f t="shared" ref="R32:R43" si="8">IF(P$12=0,0,P32/P$12)</f>
        <v>0.71064053694109219</v>
      </c>
      <c r="S32" s="4"/>
      <c r="T32" s="4">
        <f>SUM(OSRRefT16x_0)</f>
        <v>756219</v>
      </c>
      <c r="U32" s="4"/>
      <c r="V32" s="12">
        <f t="shared" ref="V32:V43" si="9">IF(T$12=0,0,T32/T$12)</f>
        <v>0.72727771077732695</v>
      </c>
      <c r="W32" s="4"/>
      <c r="X32" s="4">
        <f t="shared" ref="X32:X43" si="10">+P32-T32</f>
        <v>-148763</v>
      </c>
      <c r="Y32" s="4"/>
      <c r="Z32" s="12">
        <f t="shared" ref="Z32:Z43" si="11">IF(T32=0,0,X32/T32)</f>
        <v>-0.19671946883111902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3">
        <f t="shared" si="4"/>
        <v>0</v>
      </c>
      <c r="G33" s="2"/>
      <c r="H33" s="2">
        <v>715410</v>
      </c>
      <c r="I33" s="2"/>
      <c r="J33" s="23">
        <f t="shared" si="5"/>
        <v>0.72712322808115926</v>
      </c>
      <c r="K33" s="2"/>
      <c r="L33" s="2">
        <f t="shared" si="6"/>
        <v>-715410</v>
      </c>
      <c r="M33" s="2"/>
      <c r="N33" s="23">
        <f t="shared" si="7"/>
        <v>-1</v>
      </c>
      <c r="O33" s="11"/>
      <c r="P33" s="2"/>
      <c r="Q33" s="2"/>
      <c r="R33" s="23">
        <f t="shared" si="8"/>
        <v>0</v>
      </c>
      <c r="S33" s="2"/>
      <c r="T33" s="2">
        <v>756219</v>
      </c>
      <c r="U33" s="2"/>
      <c r="V33" s="23">
        <f t="shared" si="9"/>
        <v>0.72727771077732695</v>
      </c>
      <c r="W33" s="2"/>
      <c r="X33" s="2">
        <f t="shared" si="10"/>
        <v>-756219</v>
      </c>
      <c r="Y33" s="2"/>
      <c r="Z33" s="23">
        <f t="shared" si="11"/>
        <v>-1</v>
      </c>
    </row>
    <row r="34" spans="1:26" s="24" customFormat="1" hidden="1" outlineLevel="1" x14ac:dyDescent="0.25">
      <c r="A34" s="51"/>
      <c r="B34" s="11" t="str">
        <f>CONCATENATE("          ", "5001", " - ", "PURCHASES @ COST-NEW TEXT")</f>
        <v xml:space="preserve">          5001 - PURCHASES @ COST-NEW TEXT</v>
      </c>
      <c r="C34" s="11"/>
      <c r="D34" s="2">
        <v>363486.5</v>
      </c>
      <c r="E34" s="2"/>
      <c r="F34" s="23">
        <f t="shared" si="4"/>
        <v>0.44650974507166985</v>
      </c>
      <c r="G34" s="2"/>
      <c r="H34" s="2"/>
      <c r="I34" s="2"/>
      <c r="J34" s="23">
        <f t="shared" si="5"/>
        <v>0</v>
      </c>
      <c r="K34" s="2"/>
      <c r="L34" s="2">
        <f t="shared" si="6"/>
        <v>363486.5</v>
      </c>
      <c r="M34" s="2"/>
      <c r="N34" s="23">
        <f t="shared" si="7"/>
        <v>0</v>
      </c>
      <c r="O34" s="11"/>
      <c r="P34" s="2">
        <v>514943.91</v>
      </c>
      <c r="Q34" s="2"/>
      <c r="R34" s="23">
        <f t="shared" si="8"/>
        <v>0.60241402948846567</v>
      </c>
      <c r="S34" s="2"/>
      <c r="T34" s="2"/>
      <c r="U34" s="2"/>
      <c r="V34" s="23">
        <f t="shared" si="9"/>
        <v>0</v>
      </c>
      <c r="W34" s="2"/>
      <c r="X34" s="2">
        <f t="shared" si="10"/>
        <v>514943.91</v>
      </c>
      <c r="Y34" s="2"/>
      <c r="Z34" s="23">
        <f t="shared" si="11"/>
        <v>0</v>
      </c>
    </row>
    <row r="35" spans="1:26" s="24" customFormat="1" hidden="1" outlineLevel="1" x14ac:dyDescent="0.25">
      <c r="A35" s="51"/>
      <c r="B35" s="11" t="str">
        <f>CONCATENATE("          ", "5002", " - ", "PURCHASES @ COST-USED TEXT")</f>
        <v xml:space="preserve">          5002 - PURCHASES @ COST-USED TEXT</v>
      </c>
      <c r="C35" s="11"/>
      <c r="D35" s="2">
        <v>-8215.75</v>
      </c>
      <c r="E35" s="2"/>
      <c r="F35" s="23">
        <f t="shared" si="4"/>
        <v>-1.0092293491154614E-2</v>
      </c>
      <c r="G35" s="2"/>
      <c r="H35" s="2"/>
      <c r="I35" s="2"/>
      <c r="J35" s="23">
        <f t="shared" si="5"/>
        <v>0</v>
      </c>
      <c r="K35" s="2"/>
      <c r="L35" s="2">
        <f t="shared" si="6"/>
        <v>-8215.75</v>
      </c>
      <c r="M35" s="2"/>
      <c r="N35" s="23">
        <f t="shared" si="7"/>
        <v>0</v>
      </c>
      <c r="O35" s="11"/>
      <c r="P35" s="2">
        <v>49033.04</v>
      </c>
      <c r="Q35" s="2"/>
      <c r="R35" s="23">
        <f t="shared" si="8"/>
        <v>5.7361958517907555E-2</v>
      </c>
      <c r="S35" s="2"/>
      <c r="T35" s="2"/>
      <c r="U35" s="2"/>
      <c r="V35" s="23">
        <f t="shared" si="9"/>
        <v>0</v>
      </c>
      <c r="W35" s="2"/>
      <c r="X35" s="2">
        <f t="shared" si="10"/>
        <v>49033.04</v>
      </c>
      <c r="Y35" s="2"/>
      <c r="Z35" s="23">
        <f t="shared" si="11"/>
        <v>0</v>
      </c>
    </row>
    <row r="36" spans="1:26" s="24" customFormat="1" hidden="1" outlineLevel="1" x14ac:dyDescent="0.25">
      <c r="A36" s="51"/>
      <c r="B36" s="11" t="str">
        <f>CONCATENATE("          ", "5003", " - ", "PURCHASES @ COST-RENTAL TEXT")</f>
        <v xml:space="preserve">          5003 - PURCHASES @ COST-RENTAL TEXT</v>
      </c>
      <c r="C36" s="11"/>
      <c r="D36" s="2">
        <v>58.8</v>
      </c>
      <c r="E36" s="2"/>
      <c r="F36" s="23">
        <f t="shared" si="4"/>
        <v>7.2230393729104622E-5</v>
      </c>
      <c r="G36" s="2"/>
      <c r="H36" s="2"/>
      <c r="I36" s="2"/>
      <c r="J36" s="23">
        <f t="shared" si="5"/>
        <v>0</v>
      </c>
      <c r="K36" s="2"/>
      <c r="L36" s="2">
        <f t="shared" si="6"/>
        <v>58.8</v>
      </c>
      <c r="M36" s="2"/>
      <c r="N36" s="23">
        <f t="shared" si="7"/>
        <v>0</v>
      </c>
      <c r="O36" s="11"/>
      <c r="P36" s="2">
        <v>-11867.84</v>
      </c>
      <c r="Q36" s="2"/>
      <c r="R36" s="23">
        <f t="shared" si="8"/>
        <v>-1.3883751563785643E-2</v>
      </c>
      <c r="S36" s="2"/>
      <c r="T36" s="2"/>
      <c r="U36" s="2"/>
      <c r="V36" s="23">
        <f t="shared" si="9"/>
        <v>0</v>
      </c>
      <c r="W36" s="2"/>
      <c r="X36" s="2">
        <f t="shared" si="10"/>
        <v>-11867.84</v>
      </c>
      <c r="Y36" s="2"/>
      <c r="Z36" s="23">
        <f t="shared" si="11"/>
        <v>0</v>
      </c>
    </row>
    <row r="37" spans="1:26" s="24" customFormat="1" hidden="1" outlineLevel="1" x14ac:dyDescent="0.25">
      <c r="A37" s="51"/>
      <c r="B37" s="11" t="str">
        <f>CONCATENATE("          ", "5004", " - ", "PURCHASES @ COST-DIGITAL TEXT")</f>
        <v xml:space="preserve">          5004 - PURCHASES @ COST-DIGITAL TEXT</v>
      </c>
      <c r="C37" s="11"/>
      <c r="D37" s="2">
        <v>117504.49</v>
      </c>
      <c r="E37" s="2"/>
      <c r="F37" s="23">
        <f t="shared" si="4"/>
        <v>0.14434346220472172</v>
      </c>
      <c r="G37" s="2"/>
      <c r="H37" s="2"/>
      <c r="I37" s="2"/>
      <c r="J37" s="23">
        <f t="shared" si="5"/>
        <v>0</v>
      </c>
      <c r="K37" s="2"/>
      <c r="L37" s="2">
        <f t="shared" si="6"/>
        <v>117504.49</v>
      </c>
      <c r="M37" s="2"/>
      <c r="N37" s="23">
        <f t="shared" si="7"/>
        <v>0</v>
      </c>
      <c r="O37" s="11"/>
      <c r="P37" s="2">
        <v>122429.97</v>
      </c>
      <c r="Q37" s="2"/>
      <c r="R37" s="23">
        <f t="shared" si="8"/>
        <v>0.14322634004517498</v>
      </c>
      <c r="S37" s="2"/>
      <c r="T37" s="2"/>
      <c r="U37" s="2"/>
      <c r="V37" s="23">
        <f t="shared" si="9"/>
        <v>0</v>
      </c>
      <c r="W37" s="2"/>
      <c r="X37" s="2">
        <f t="shared" si="10"/>
        <v>122429.97</v>
      </c>
      <c r="Y37" s="2"/>
      <c r="Z37" s="23">
        <f t="shared" si="11"/>
        <v>0</v>
      </c>
    </row>
    <row r="38" spans="1:26" s="24" customFormat="1" hidden="1" outlineLevel="1" x14ac:dyDescent="0.25">
      <c r="A38" s="51"/>
      <c r="B38" s="11" t="str">
        <f>CONCATENATE("          ", "5013", " - ", "PURCHASES @ COST-TRADE BOOKS")</f>
        <v xml:space="preserve">          5013 - PURCHASES @ COST-TRADE BOOKS</v>
      </c>
      <c r="C38" s="11"/>
      <c r="D38" s="2"/>
      <c r="E38" s="2"/>
      <c r="F38" s="23">
        <f t="shared" si="4"/>
        <v>0</v>
      </c>
      <c r="G38" s="2"/>
      <c r="H38" s="2"/>
      <c r="I38" s="2"/>
      <c r="J38" s="23">
        <f t="shared" si="5"/>
        <v>0</v>
      </c>
      <c r="K38" s="2"/>
      <c r="L38" s="2">
        <f t="shared" si="6"/>
        <v>0</v>
      </c>
      <c r="M38" s="2"/>
      <c r="N38" s="23">
        <f t="shared" si="7"/>
        <v>0</v>
      </c>
      <c r="O38" s="11"/>
      <c r="P38" s="2">
        <v>108.54</v>
      </c>
      <c r="Q38" s="2"/>
      <c r="R38" s="23">
        <f t="shared" si="8"/>
        <v>1.2697697261955789E-4</v>
      </c>
      <c r="S38" s="2"/>
      <c r="T38" s="2"/>
      <c r="U38" s="2"/>
      <c r="V38" s="23">
        <f t="shared" si="9"/>
        <v>0</v>
      </c>
      <c r="W38" s="2"/>
      <c r="X38" s="2">
        <f t="shared" si="10"/>
        <v>108.54</v>
      </c>
      <c r="Y38" s="2"/>
      <c r="Z38" s="23">
        <f t="shared" si="11"/>
        <v>0</v>
      </c>
    </row>
    <row r="39" spans="1:26" s="24" customFormat="1" hidden="1" outlineLevel="1" x14ac:dyDescent="0.25">
      <c r="A39" s="51"/>
      <c r="B39" s="11" t="str">
        <f>CONCATENATE("          ", "5014", " - ", "PURCHASES @ COST-REMAINDERS")</f>
        <v xml:space="preserve">          5014 - PURCHASES @ COST-REMAINDERS</v>
      </c>
      <c r="C39" s="11"/>
      <c r="D39" s="2"/>
      <c r="E39" s="2"/>
      <c r="F39" s="23">
        <f t="shared" si="4"/>
        <v>0</v>
      </c>
      <c r="G39" s="2"/>
      <c r="H39" s="2"/>
      <c r="I39" s="2"/>
      <c r="J39" s="23">
        <f t="shared" si="5"/>
        <v>0</v>
      </c>
      <c r="K39" s="2"/>
      <c r="L39" s="2">
        <f t="shared" si="6"/>
        <v>0</v>
      </c>
      <c r="M39" s="2"/>
      <c r="N39" s="23">
        <f t="shared" si="7"/>
        <v>0</v>
      </c>
      <c r="O39" s="11"/>
      <c r="P39" s="2">
        <v>-12.51</v>
      </c>
      <c r="Q39" s="2"/>
      <c r="R39" s="23">
        <f t="shared" si="8"/>
        <v>-1.463499103989929E-5</v>
      </c>
      <c r="S39" s="2"/>
      <c r="T39" s="2"/>
      <c r="U39" s="2"/>
      <c r="V39" s="23">
        <f t="shared" si="9"/>
        <v>0</v>
      </c>
      <c r="W39" s="2"/>
      <c r="X39" s="2">
        <f t="shared" si="10"/>
        <v>-12.51</v>
      </c>
      <c r="Y39" s="2"/>
      <c r="Z39" s="23">
        <f t="shared" si="11"/>
        <v>0</v>
      </c>
    </row>
    <row r="40" spans="1:26" s="24" customFormat="1" hidden="1" outlineLevel="1" x14ac:dyDescent="0.25">
      <c r="A40" s="51"/>
      <c r="B40" s="11" t="str">
        <f>CONCATENATE("          ", "5200", " - ", "PURCHASES OFFSET")</f>
        <v xml:space="preserve">          5200 - PURCHASES OFFSET</v>
      </c>
      <c r="C40" s="11"/>
      <c r="D40" s="2">
        <v>-478701.25999999995</v>
      </c>
      <c r="E40" s="2"/>
      <c r="F40" s="23">
        <f t="shared" si="4"/>
        <v>-0.58804048449691293</v>
      </c>
      <c r="G40" s="2"/>
      <c r="H40" s="2"/>
      <c r="I40" s="2"/>
      <c r="J40" s="23">
        <f t="shared" si="5"/>
        <v>0</v>
      </c>
      <c r="K40" s="2"/>
      <c r="L40" s="2">
        <f t="shared" si="6"/>
        <v>-478701.25999999995</v>
      </c>
      <c r="M40" s="2"/>
      <c r="N40" s="23">
        <f t="shared" si="7"/>
        <v>0</v>
      </c>
      <c r="O40" s="11"/>
      <c r="P40" s="2">
        <v>-681352.94000000006</v>
      </c>
      <c r="Q40" s="2"/>
      <c r="R40" s="23">
        <f t="shared" si="8"/>
        <v>-0.79708986186323261</v>
      </c>
      <c r="S40" s="2"/>
      <c r="T40" s="2"/>
      <c r="U40" s="2"/>
      <c r="V40" s="23">
        <f t="shared" si="9"/>
        <v>0</v>
      </c>
      <c r="W40" s="2"/>
      <c r="X40" s="2">
        <f t="shared" si="10"/>
        <v>-681352.94000000006</v>
      </c>
      <c r="Y40" s="2"/>
      <c r="Z40" s="23">
        <f t="shared" si="11"/>
        <v>0</v>
      </c>
    </row>
    <row r="41" spans="1:26" s="24" customFormat="1" hidden="1" outlineLevel="1" x14ac:dyDescent="0.25">
      <c r="A41" s="51"/>
      <c r="B41" s="11" t="str">
        <f>CONCATENATE("          ", "5300", " - ", "COG$ OFFSET")</f>
        <v xml:space="preserve">          5300 - COG$ OFFSET</v>
      </c>
      <c r="C41" s="11"/>
      <c r="D41" s="2">
        <v>581368</v>
      </c>
      <c r="E41" s="2"/>
      <c r="F41" s="23">
        <f t="shared" si="4"/>
        <v>0.71415713505955947</v>
      </c>
      <c r="G41" s="2"/>
      <c r="H41" s="2"/>
      <c r="I41" s="2"/>
      <c r="J41" s="23">
        <f t="shared" si="5"/>
        <v>0</v>
      </c>
      <c r="K41" s="2"/>
      <c r="L41" s="2">
        <f t="shared" si="6"/>
        <v>581368</v>
      </c>
      <c r="M41" s="2"/>
      <c r="N41" s="23">
        <f t="shared" si="7"/>
        <v>0</v>
      </c>
      <c r="O41" s="11"/>
      <c r="P41" s="2">
        <v>607456</v>
      </c>
      <c r="Q41" s="2"/>
      <c r="R41" s="23">
        <f t="shared" si="8"/>
        <v>0.71064053694109219</v>
      </c>
      <c r="S41" s="2"/>
      <c r="T41" s="2"/>
      <c r="U41" s="2"/>
      <c r="V41" s="23">
        <f t="shared" si="9"/>
        <v>0</v>
      </c>
      <c r="W41" s="2"/>
      <c r="X41" s="2">
        <f t="shared" si="10"/>
        <v>607456</v>
      </c>
      <c r="Y41" s="2"/>
      <c r="Z41" s="23">
        <f t="shared" si="11"/>
        <v>0</v>
      </c>
    </row>
    <row r="42" spans="1:26" s="24" customFormat="1" hidden="1" outlineLevel="1" x14ac:dyDescent="0.25">
      <c r="A42" s="51"/>
      <c r="B42" s="11" t="str">
        <f>CONCATENATE("          ", "5501", " - ", "FREIGHT-IN-NEW TEXT")</f>
        <v xml:space="preserve">          5501 - FREIGHT-IN-NEW TEXT</v>
      </c>
      <c r="C42" s="11"/>
      <c r="D42" s="2">
        <v>4680.5600000000004</v>
      </c>
      <c r="E42" s="2"/>
      <c r="F42" s="23">
        <f t="shared" si="4"/>
        <v>5.7496376134812581E-3</v>
      </c>
      <c r="G42" s="2"/>
      <c r="H42" s="2"/>
      <c r="I42" s="2"/>
      <c r="J42" s="23">
        <f t="shared" si="5"/>
        <v>0</v>
      </c>
      <c r="K42" s="2"/>
      <c r="L42" s="2">
        <f t="shared" si="6"/>
        <v>4680.5600000000004</v>
      </c>
      <c r="M42" s="2"/>
      <c r="N42" s="23">
        <f t="shared" si="7"/>
        <v>0</v>
      </c>
      <c r="O42" s="11"/>
      <c r="P42" s="2">
        <v>5483.28</v>
      </c>
      <c r="Q42" s="2"/>
      <c r="R42" s="23">
        <f t="shared" si="8"/>
        <v>6.4146885427065524E-3</v>
      </c>
      <c r="S42" s="2"/>
      <c r="T42" s="2"/>
      <c r="U42" s="2"/>
      <c r="V42" s="23">
        <f t="shared" si="9"/>
        <v>0</v>
      </c>
      <c r="W42" s="2"/>
      <c r="X42" s="2">
        <f t="shared" si="10"/>
        <v>5483.28</v>
      </c>
      <c r="Y42" s="2"/>
      <c r="Z42" s="23">
        <f t="shared" si="11"/>
        <v>0</v>
      </c>
    </row>
    <row r="43" spans="1:26" s="24" customFormat="1" hidden="1" outlineLevel="1" x14ac:dyDescent="0.25">
      <c r="A43" s="51"/>
      <c r="B43" s="11" t="str">
        <f>CONCATENATE("          ", "5502", " - ", "FREIGHT-IN-USED TEXT")</f>
        <v xml:space="preserve">          5502 - FREIGHT-IN-USED TEXT</v>
      </c>
      <c r="C43" s="11"/>
      <c r="D43" s="2">
        <v>1186.6600000000001</v>
      </c>
      <c r="E43" s="2"/>
      <c r="F43" s="23">
        <f t="shared" si="4"/>
        <v>1.4577027044656344E-3</v>
      </c>
      <c r="G43" s="2"/>
      <c r="H43" s="2"/>
      <c r="I43" s="2"/>
      <c r="J43" s="23">
        <f t="shared" si="5"/>
        <v>0</v>
      </c>
      <c r="K43" s="2"/>
      <c r="L43" s="2">
        <f t="shared" si="6"/>
        <v>1186.6600000000001</v>
      </c>
      <c r="M43" s="2"/>
      <c r="N43" s="23">
        <f t="shared" si="7"/>
        <v>0</v>
      </c>
      <c r="O43" s="11"/>
      <c r="P43" s="2">
        <v>1234.55</v>
      </c>
      <c r="Q43" s="2"/>
      <c r="R43" s="23">
        <f t="shared" si="8"/>
        <v>1.4442548511836666E-3</v>
      </c>
      <c r="S43" s="2"/>
      <c r="T43" s="2"/>
      <c r="U43" s="2"/>
      <c r="V43" s="23">
        <f t="shared" si="9"/>
        <v>0</v>
      </c>
      <c r="W43" s="2"/>
      <c r="X43" s="2">
        <f t="shared" si="10"/>
        <v>1234.55</v>
      </c>
      <c r="Y43" s="2"/>
      <c r="Z43" s="23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2" customFormat="1" x14ac:dyDescent="0.25">
      <c r="A45" s="10"/>
      <c r="B45" s="26" t="s">
        <v>6</v>
      </c>
      <c r="C45" s="26"/>
      <c r="D45" s="21">
        <f>D12-D32</f>
        <v>232693.73999999987</v>
      </c>
      <c r="E45" s="13"/>
      <c r="F45" s="20">
        <f>IF(D$12=0,0,D45/D$12)</f>
        <v>0.28584286494044037</v>
      </c>
      <c r="G45" s="13"/>
      <c r="H45" s="21">
        <f>H12-H32</f>
        <v>268481.00000000012</v>
      </c>
      <c r="I45" s="13"/>
      <c r="J45" s="20">
        <f>IF(H$12=0,0,H45/H$12)</f>
        <v>0.27287677191884069</v>
      </c>
      <c r="K45" s="16"/>
      <c r="L45" s="21">
        <f>+D45-H45</f>
        <v>-35787.260000000242</v>
      </c>
      <c r="M45" s="16"/>
      <c r="N45" s="20">
        <f>IF(H45=0,0,L45/H45)</f>
        <v>-0.13329531698705022</v>
      </c>
      <c r="O45" s="25"/>
      <c r="P45" s="21">
        <f>P12-P32</f>
        <v>247344.66000000003</v>
      </c>
      <c r="Q45" s="13"/>
      <c r="R45" s="20">
        <f>IF(P$12=0,0,P45/P$12)</f>
        <v>0.28935946305890781</v>
      </c>
      <c r="S45" s="13"/>
      <c r="T45" s="21">
        <f>T12-T32</f>
        <v>283575.00000000012</v>
      </c>
      <c r="U45" s="13"/>
      <c r="V45" s="20">
        <f>IF(T$12=0,0,T45/T$12)</f>
        <v>0.27272228922267305</v>
      </c>
      <c r="W45" s="16"/>
      <c r="X45" s="21">
        <f>+P45-T45</f>
        <v>-36230.340000000084</v>
      </c>
      <c r="Y45" s="16"/>
      <c r="Z45" s="20">
        <f>IF(T45=0,0,X45/T45)</f>
        <v>-0.127762814070352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2" customFormat="1" x14ac:dyDescent="0.25">
      <c r="A47" s="10"/>
      <c r="B47" s="25" t="s">
        <v>9</v>
      </c>
      <c r="C47" s="10"/>
      <c r="D47" s="19">
        <f>SUM(OSRRefD22x_0)</f>
        <v>48390.540000000008</v>
      </c>
      <c r="E47" s="19"/>
      <c r="F47" s="30">
        <f t="shared" ref="F47:F58" si="12">IF(D$12=0,0,D47/D$12)</f>
        <v>5.9443329200067806E-2</v>
      </c>
      <c r="G47" s="19"/>
      <c r="H47" s="19">
        <f>SUM(OSRRefH22x_0)</f>
        <v>70967.438548861523</v>
      </c>
      <c r="I47" s="19"/>
      <c r="J47" s="30">
        <f t="shared" ref="J47:J58" si="13">IF(H$12=0,0,H47/H$12)</f>
        <v>7.2129370579527119E-2</v>
      </c>
      <c r="K47" s="4"/>
      <c r="L47" s="19">
        <f t="shared" ref="L47:L58" si="14">+D47-H47</f>
        <v>-22576.898548861514</v>
      </c>
      <c r="M47" s="4"/>
      <c r="N47" s="30">
        <f t="shared" ref="N47:N58" si="15">IF(H47=0,0,L47/H47)</f>
        <v>-0.31813038501195418</v>
      </c>
      <c r="O47" s="10"/>
      <c r="P47" s="19">
        <f>SUM(OSRRefP22x_0)</f>
        <v>88534.650000000023</v>
      </c>
      <c r="Q47" s="19"/>
      <c r="R47" s="30">
        <f t="shared" ref="R47:R58" si="16">IF(P$12=0,0,P47/P$12)</f>
        <v>0.10357344600084892</v>
      </c>
      <c r="S47" s="19"/>
      <c r="T47" s="19">
        <f>SUM(OSRRefT22x_0)</f>
        <v>116755.83266618848</v>
      </c>
      <c r="U47" s="19"/>
      <c r="V47" s="30">
        <f t="shared" ref="V47:V58" si="17">IF(T$12=0,0,T47/T$12)</f>
        <v>0.11228746527311032</v>
      </c>
      <c r="W47" s="4"/>
      <c r="X47" s="19">
        <f t="shared" ref="X47:X58" si="18">+P47-T47</f>
        <v>-28221.182666188455</v>
      </c>
      <c r="Y47" s="4"/>
      <c r="Z47" s="30">
        <f t="shared" ref="Z47:Z58" si="19">IF(T47=0,0,X47/T47)</f>
        <v>-0.2417111164533802</v>
      </c>
    </row>
    <row r="48" spans="1:26" s="29" customFormat="1" outlineLevel="1" collapsed="1" x14ac:dyDescent="0.25">
      <c r="A48" s="28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10659.73</v>
      </c>
      <c r="E48" s="1"/>
      <c r="F48" s="5">
        <f t="shared" si="12"/>
        <v>1.309449821336647E-2</v>
      </c>
      <c r="G48" s="1"/>
      <c r="H48" s="1">
        <f>SUM(OSRRefH22_0x_0)</f>
        <v>13379.936405169226</v>
      </c>
      <c r="I48" s="1"/>
      <c r="J48" s="5">
        <f t="shared" si="13"/>
        <v>1.3599002740312926E-2</v>
      </c>
      <c r="K48" s="1"/>
      <c r="L48" s="1">
        <f t="shared" si="14"/>
        <v>-2720.2064051692269</v>
      </c>
      <c r="M48" s="1"/>
      <c r="N48" s="5">
        <f t="shared" si="15"/>
        <v>-0.20330488298272464</v>
      </c>
      <c r="O48" s="14"/>
      <c r="P48" s="1">
        <f>SUM(OSRRefP22_0x_0)</f>
        <v>21814.160000000003</v>
      </c>
      <c r="Q48" s="1"/>
      <c r="R48" s="5">
        <f t="shared" si="16"/>
        <v>2.551958722165704E-2</v>
      </c>
      <c r="S48" s="1"/>
      <c r="T48" s="1">
        <f>SUM(OSRRefT22_0x_0)</f>
        <v>26410.577842880772</v>
      </c>
      <c r="U48" s="1"/>
      <c r="V48" s="5">
        <f t="shared" si="17"/>
        <v>2.5399817505083477E-2</v>
      </c>
      <c r="W48" s="1"/>
      <c r="X48" s="1">
        <f t="shared" si="18"/>
        <v>-4596.4178428807681</v>
      </c>
      <c r="Y48" s="1"/>
      <c r="Z48" s="5">
        <f t="shared" si="19"/>
        <v>-0.17403700404532335</v>
      </c>
    </row>
    <row r="49" spans="1:26" s="24" customFormat="1" hidden="1" outlineLevel="2" x14ac:dyDescent="0.25">
      <c r="A49" s="27"/>
      <c r="B49" s="11" t="str">
        <f>CONCATENATE("          ", "6111", " - ", "F.I.C.A.")</f>
        <v xml:space="preserve">          6111 - F.I.C.A.</v>
      </c>
      <c r="C49" s="11"/>
      <c r="D49" s="6">
        <v>2291.5500000000002</v>
      </c>
      <c r="E49" s="2"/>
      <c r="F49" s="7">
        <f t="shared" si="12"/>
        <v>2.8149584821416619E-3</v>
      </c>
      <c r="G49" s="2"/>
      <c r="H49" s="6">
        <v>2487.63378793846</v>
      </c>
      <c r="I49" s="2"/>
      <c r="J49" s="7">
        <f t="shared" si="13"/>
        <v>2.5283631905754396E-3</v>
      </c>
      <c r="K49" s="2"/>
      <c r="L49" s="6">
        <f t="shared" si="14"/>
        <v>-196.08378793845986</v>
      </c>
      <c r="M49" s="2"/>
      <c r="N49" s="7">
        <f t="shared" si="15"/>
        <v>-7.882341399654226E-2</v>
      </c>
      <c r="O49" s="11"/>
      <c r="P49" s="6">
        <v>4094</v>
      </c>
      <c r="Q49" s="2"/>
      <c r="R49" s="7">
        <f t="shared" si="16"/>
        <v>4.7894207288047717E-3</v>
      </c>
      <c r="S49" s="2"/>
      <c r="T49" s="6">
        <v>4553.2589916115403</v>
      </c>
      <c r="U49" s="2"/>
      <c r="V49" s="7">
        <f t="shared" si="17"/>
        <v>4.3790010248294757E-3</v>
      </c>
      <c r="W49" s="2"/>
      <c r="X49" s="6">
        <f t="shared" si="18"/>
        <v>-459.2589916115403</v>
      </c>
      <c r="Y49" s="2"/>
      <c r="Z49" s="7">
        <f t="shared" si="19"/>
        <v>-0.10086379721813149</v>
      </c>
    </row>
    <row r="50" spans="1:26" s="24" customFormat="1" hidden="1" outlineLevel="2" x14ac:dyDescent="0.25">
      <c r="A50" s="27"/>
      <c r="B50" s="11" t="str">
        <f>CONCATENATE("          ", "6112", " - ", "COMPENSATION INSURANCE")</f>
        <v xml:space="preserve">          6112 - COMPENSATION INSURANCE</v>
      </c>
      <c r="C50" s="11"/>
      <c r="D50" s="6">
        <v>190.93</v>
      </c>
      <c r="E50" s="2"/>
      <c r="F50" s="7">
        <f t="shared" si="12"/>
        <v>2.3453995024996508E-4</v>
      </c>
      <c r="G50" s="2"/>
      <c r="H50" s="6">
        <v>918.47581846153901</v>
      </c>
      <c r="I50" s="2"/>
      <c r="J50" s="7">
        <f t="shared" si="13"/>
        <v>9.3351379213910774E-4</v>
      </c>
      <c r="K50" s="2"/>
      <c r="L50" s="6">
        <f t="shared" si="14"/>
        <v>-727.54581846153906</v>
      </c>
      <c r="M50" s="2"/>
      <c r="N50" s="7">
        <f t="shared" si="15"/>
        <v>-0.79212299751145265</v>
      </c>
      <c r="O50" s="11"/>
      <c r="P50" s="6">
        <v>338.35</v>
      </c>
      <c r="Q50" s="2"/>
      <c r="R50" s="7">
        <f t="shared" si="16"/>
        <v>3.9582327884491808E-4</v>
      </c>
      <c r="S50" s="2"/>
      <c r="T50" s="6">
        <v>1485.825529038462</v>
      </c>
      <c r="U50" s="2"/>
      <c r="V50" s="7">
        <f t="shared" si="17"/>
        <v>1.428961437590967E-3</v>
      </c>
      <c r="W50" s="2"/>
      <c r="X50" s="6">
        <f t="shared" si="18"/>
        <v>-1147.4755290384619</v>
      </c>
      <c r="Y50" s="2"/>
      <c r="Z50" s="7">
        <f t="shared" si="19"/>
        <v>-0.77228147357317234</v>
      </c>
    </row>
    <row r="51" spans="1:26" s="24" customFormat="1" hidden="1" outlineLevel="2" x14ac:dyDescent="0.25">
      <c r="A51" s="27"/>
      <c r="B51" s="11" t="str">
        <f>CONCATENATE("          ", "6113", " - ", "GROUP INSURANCE")</f>
        <v xml:space="preserve">          6113 - GROUP INSURANCE</v>
      </c>
      <c r="C51" s="11"/>
      <c r="D51" s="6">
        <v>4114</v>
      </c>
      <c r="E51" s="2"/>
      <c r="F51" s="7">
        <f t="shared" si="12"/>
        <v>5.0536707449240891E-3</v>
      </c>
      <c r="G51" s="2"/>
      <c r="H51" s="6">
        <v>4662.6923076923094</v>
      </c>
      <c r="I51" s="2"/>
      <c r="J51" s="7">
        <f t="shared" si="13"/>
        <v>4.7390333966794177E-3</v>
      </c>
      <c r="K51" s="2"/>
      <c r="L51" s="6">
        <f t="shared" si="14"/>
        <v>-548.69230769230944</v>
      </c>
      <c r="M51" s="2"/>
      <c r="N51" s="7">
        <f t="shared" si="15"/>
        <v>-0.11767714262146367</v>
      </c>
      <c r="O51" s="11"/>
      <c r="P51" s="6">
        <v>8362.2099999999991</v>
      </c>
      <c r="Q51" s="2"/>
      <c r="R51" s="7">
        <f t="shared" si="16"/>
        <v>9.7826433592131286E-3</v>
      </c>
      <c r="S51" s="2"/>
      <c r="T51" s="6">
        <v>9632.3076923076896</v>
      </c>
      <c r="U51" s="2"/>
      <c r="V51" s="7">
        <f t="shared" si="17"/>
        <v>9.2636692386258122E-3</v>
      </c>
      <c r="W51" s="2"/>
      <c r="X51" s="6">
        <f t="shared" si="18"/>
        <v>-1270.0976923076905</v>
      </c>
      <c r="Y51" s="2"/>
      <c r="Z51" s="7">
        <f t="shared" si="19"/>
        <v>-0.13185808976201871</v>
      </c>
    </row>
    <row r="52" spans="1:26" s="24" customFormat="1" hidden="1" outlineLevel="2" x14ac:dyDescent="0.25">
      <c r="A52" s="27"/>
      <c r="B52" s="11" t="str">
        <f>CONCATENATE("          ", "6114", " - ", "STATE UNEMPLOYMENT INSURANCE")</f>
        <v xml:space="preserve">          6114 - STATE UNEMPLOYMENT INSURANCE</v>
      </c>
      <c r="C52" s="11"/>
      <c r="D52" s="6">
        <v>71.989999999999995</v>
      </c>
      <c r="E52" s="2"/>
      <c r="F52" s="7">
        <f t="shared" si="12"/>
        <v>8.8433095995888469E-5</v>
      </c>
      <c r="G52" s="2"/>
      <c r="H52" s="6">
        <v>129.083088</v>
      </c>
      <c r="I52" s="2"/>
      <c r="J52" s="7">
        <f t="shared" si="13"/>
        <v>1.3119653294927993E-4</v>
      </c>
      <c r="K52" s="2"/>
      <c r="L52" s="6">
        <f t="shared" si="14"/>
        <v>-57.093088000000009</v>
      </c>
      <c r="M52" s="2"/>
      <c r="N52" s="7">
        <f t="shared" si="15"/>
        <v>-0.44229719698059911</v>
      </c>
      <c r="O52" s="11"/>
      <c r="P52" s="6">
        <v>133.41999999999999</v>
      </c>
      <c r="Q52" s="2"/>
      <c r="R52" s="7">
        <f t="shared" si="16"/>
        <v>1.5608317382440951E-4</v>
      </c>
      <c r="S52" s="2"/>
      <c r="T52" s="6">
        <v>208.81872300000001</v>
      </c>
      <c r="U52" s="2"/>
      <c r="V52" s="7">
        <f t="shared" si="17"/>
        <v>2.0082701285062231E-4</v>
      </c>
      <c r="W52" s="2"/>
      <c r="X52" s="6">
        <f t="shared" si="18"/>
        <v>-75.398723000000018</v>
      </c>
      <c r="Y52" s="2"/>
      <c r="Z52" s="7">
        <f t="shared" si="19"/>
        <v>-0.36107261799508283</v>
      </c>
    </row>
    <row r="53" spans="1:26" s="24" customFormat="1" hidden="1" outlineLevel="2" x14ac:dyDescent="0.25">
      <c r="A53" s="27"/>
      <c r="B53" s="11" t="str">
        <f>CONCATENATE("          ", "6115", " - ", "P.E.R.S.")</f>
        <v xml:space="preserve">          6115 - P.E.R.S.</v>
      </c>
      <c r="C53" s="11"/>
      <c r="D53" s="6">
        <v>1480.2</v>
      </c>
      <c r="E53" s="2"/>
      <c r="F53" s="7">
        <f t="shared" si="12"/>
        <v>1.8182896054051135E-3</v>
      </c>
      <c r="G53" s="2"/>
      <c r="H53" s="6">
        <v>1268.5379723076899</v>
      </c>
      <c r="I53" s="2"/>
      <c r="J53" s="7">
        <f t="shared" si="13"/>
        <v>1.2893074256271171E-3</v>
      </c>
      <c r="K53" s="2"/>
      <c r="L53" s="6">
        <f t="shared" si="14"/>
        <v>211.66202769231018</v>
      </c>
      <c r="M53" s="2"/>
      <c r="N53" s="7">
        <f t="shared" si="15"/>
        <v>0.16685509800487908</v>
      </c>
      <c r="O53" s="11"/>
      <c r="P53" s="6">
        <v>3700.52</v>
      </c>
      <c r="Q53" s="2"/>
      <c r="R53" s="7">
        <f t="shared" si="16"/>
        <v>4.3291028811325433E-3</v>
      </c>
      <c r="S53" s="2"/>
      <c r="T53" s="6">
        <v>2854.2104376923098</v>
      </c>
      <c r="U53" s="2"/>
      <c r="V53" s="7">
        <f t="shared" si="17"/>
        <v>2.7449768297300326E-3</v>
      </c>
      <c r="W53" s="2"/>
      <c r="X53" s="6">
        <f t="shared" si="18"/>
        <v>846.30956230769016</v>
      </c>
      <c r="Y53" s="2"/>
      <c r="Z53" s="7">
        <f t="shared" si="19"/>
        <v>0.29651267164167106</v>
      </c>
    </row>
    <row r="54" spans="1:26" s="24" customFormat="1" hidden="1" outlineLevel="2" x14ac:dyDescent="0.25">
      <c r="A54" s="27"/>
      <c r="B54" s="11" t="str">
        <f>CONCATENATE("          ", "6116", " - ", "EDUCATIONAL BENEFITS")</f>
        <v xml:space="preserve">          6116 - EDUCATIONAL BENEFITS</v>
      </c>
      <c r="C54" s="11"/>
      <c r="D54" s="6"/>
      <c r="E54" s="2"/>
      <c r="F54" s="7">
        <f t="shared" si="12"/>
        <v>0</v>
      </c>
      <c r="G54" s="2"/>
      <c r="H54" s="6">
        <v>0</v>
      </c>
      <c r="I54" s="2"/>
      <c r="J54" s="7">
        <f t="shared" si="13"/>
        <v>0</v>
      </c>
      <c r="K54" s="2"/>
      <c r="L54" s="6">
        <f t="shared" si="14"/>
        <v>0</v>
      </c>
      <c r="M54" s="2"/>
      <c r="N54" s="7">
        <f t="shared" si="15"/>
        <v>0</v>
      </c>
      <c r="O54" s="11"/>
      <c r="P54" s="6"/>
      <c r="Q54" s="2"/>
      <c r="R54" s="7">
        <f t="shared" si="16"/>
        <v>0</v>
      </c>
      <c r="S54" s="2"/>
      <c r="T54" s="6">
        <v>0</v>
      </c>
      <c r="U54" s="2"/>
      <c r="V54" s="7">
        <f t="shared" si="17"/>
        <v>0</v>
      </c>
      <c r="W54" s="2"/>
      <c r="X54" s="6">
        <f t="shared" si="18"/>
        <v>0</v>
      </c>
      <c r="Y54" s="2"/>
      <c r="Z54" s="7">
        <f t="shared" si="19"/>
        <v>0</v>
      </c>
    </row>
    <row r="55" spans="1:26" s="24" customFormat="1" hidden="1" outlineLevel="2" x14ac:dyDescent="0.25">
      <c r="A55" s="27"/>
      <c r="B55" s="11" t="str">
        <f>CONCATENATE("          ", "6117", " - ", "RETIREMENT STAFF HOURLY")</f>
        <v xml:space="preserve">          6117 - RETIREMENT STAFF HOURLY</v>
      </c>
      <c r="C55" s="11"/>
      <c r="D55" s="6">
        <v>255.65</v>
      </c>
      <c r="E55" s="2"/>
      <c r="F55" s="7">
        <f t="shared" si="12"/>
        <v>3.1404251967424488E-4</v>
      </c>
      <c r="G55" s="2"/>
      <c r="H55" s="6"/>
      <c r="I55" s="2"/>
      <c r="J55" s="7">
        <f t="shared" si="13"/>
        <v>0</v>
      </c>
      <c r="K55" s="2"/>
      <c r="L55" s="6">
        <f t="shared" si="14"/>
        <v>255.65</v>
      </c>
      <c r="M55" s="2"/>
      <c r="N55" s="7">
        <f t="shared" si="15"/>
        <v>0</v>
      </c>
      <c r="O55" s="11"/>
      <c r="P55" s="6">
        <v>588.79</v>
      </c>
      <c r="Q55" s="2"/>
      <c r="R55" s="7">
        <f t="shared" si="16"/>
        <v>6.8880386685709857E-4</v>
      </c>
      <c r="S55" s="2"/>
      <c r="T55" s="6"/>
      <c r="U55" s="2"/>
      <c r="V55" s="7">
        <f t="shared" si="17"/>
        <v>0</v>
      </c>
      <c r="W55" s="2"/>
      <c r="X55" s="6">
        <f t="shared" si="18"/>
        <v>588.79</v>
      </c>
      <c r="Y55" s="2"/>
      <c r="Z55" s="7">
        <f t="shared" si="19"/>
        <v>0</v>
      </c>
    </row>
    <row r="56" spans="1:26" s="24" customFormat="1" hidden="1" outlineLevel="2" x14ac:dyDescent="0.25">
      <c r="A56" s="27"/>
      <c r="B56" s="11" t="str">
        <f>CONCATENATE("          ", "6118", " - ", "VACATION")</f>
        <v xml:space="preserve">          6118 - VACATION</v>
      </c>
      <c r="C56" s="11"/>
      <c r="D56" s="6">
        <v>942.5</v>
      </c>
      <c r="E56" s="2"/>
      <c r="F56" s="7">
        <f t="shared" si="12"/>
        <v>1.1577745933619237E-3</v>
      </c>
      <c r="G56" s="2"/>
      <c r="H56" s="6">
        <v>1346.2077200000001</v>
      </c>
      <c r="I56" s="2"/>
      <c r="J56" s="7">
        <f t="shared" si="13"/>
        <v>1.368248840572787E-3</v>
      </c>
      <c r="K56" s="2"/>
      <c r="L56" s="6">
        <f t="shared" si="14"/>
        <v>-403.70772000000011</v>
      </c>
      <c r="M56" s="2"/>
      <c r="N56" s="7">
        <f t="shared" si="15"/>
        <v>-0.29988516185303116</v>
      </c>
      <c r="O56" s="11"/>
      <c r="P56" s="6">
        <v>1910.31</v>
      </c>
      <c r="Q56" s="2"/>
      <c r="R56" s="7">
        <f t="shared" si="16"/>
        <v>2.2348017372845735E-3</v>
      </c>
      <c r="S56" s="2"/>
      <c r="T56" s="6">
        <v>3028.9673699999998</v>
      </c>
      <c r="U56" s="2"/>
      <c r="V56" s="7">
        <f t="shared" si="17"/>
        <v>2.9130456321155916E-3</v>
      </c>
      <c r="W56" s="2"/>
      <c r="X56" s="6">
        <f t="shared" si="18"/>
        <v>-1118.6573699999999</v>
      </c>
      <c r="Y56" s="2"/>
      <c r="Z56" s="7">
        <f t="shared" si="19"/>
        <v>-0.36931971637581557</v>
      </c>
    </row>
    <row r="57" spans="1:26" s="24" customFormat="1" hidden="1" outlineLevel="2" x14ac:dyDescent="0.25">
      <c r="A57" s="27"/>
      <c r="B57" s="11" t="str">
        <f>CONCATENATE("          ", "6119", " - ", "SICK LEAVE")</f>
        <v xml:space="preserve">          6119 - SICK LEAVE</v>
      </c>
      <c r="C57" s="11"/>
      <c r="D57" s="6">
        <v>944.6</v>
      </c>
      <c r="E57" s="2"/>
      <c r="F57" s="7">
        <f t="shared" si="12"/>
        <v>1.1603542502808203E-3</v>
      </c>
      <c r="G57" s="2"/>
      <c r="H57" s="6">
        <v>1817.30571076923</v>
      </c>
      <c r="I57" s="2"/>
      <c r="J57" s="7">
        <f t="shared" si="13"/>
        <v>1.8470600003142928E-3</v>
      </c>
      <c r="K57" s="2"/>
      <c r="L57" s="6">
        <f t="shared" si="14"/>
        <v>-872.70571076923</v>
      </c>
      <c r="M57" s="2"/>
      <c r="N57" s="7">
        <f t="shared" si="15"/>
        <v>-0.48021953906689191</v>
      </c>
      <c r="O57" s="11"/>
      <c r="P57" s="6">
        <v>1889.2</v>
      </c>
      <c r="Q57" s="2"/>
      <c r="R57" s="7">
        <f t="shared" si="16"/>
        <v>2.2101059210693635E-3</v>
      </c>
      <c r="S57" s="2"/>
      <c r="T57" s="6">
        <v>3147.1890992307699</v>
      </c>
      <c r="U57" s="2"/>
      <c r="V57" s="7">
        <f t="shared" si="17"/>
        <v>3.026742892564075E-3</v>
      </c>
      <c r="W57" s="2"/>
      <c r="X57" s="6">
        <f t="shared" si="18"/>
        <v>-1257.9890992307699</v>
      </c>
      <c r="Y57" s="2"/>
      <c r="Z57" s="7">
        <f t="shared" si="19"/>
        <v>-0.39971830721523699</v>
      </c>
    </row>
    <row r="58" spans="1:26" s="24" customFormat="1" hidden="1" outlineLevel="2" x14ac:dyDescent="0.25">
      <c r="A58" s="27"/>
      <c r="B58" s="11" t="str">
        <f>CONCATENATE("          ", "6156", " - ", "EMPLOYEE MEALS")</f>
        <v xml:space="preserve">          6156 - EMPLOYEE MEALS</v>
      </c>
      <c r="C58" s="11"/>
      <c r="D58" s="6">
        <v>368.31</v>
      </c>
      <c r="E58" s="2"/>
      <c r="F58" s="7">
        <f t="shared" si="12"/>
        <v>4.5243497133276404E-4</v>
      </c>
      <c r="G58" s="2"/>
      <c r="H58" s="6">
        <v>750</v>
      </c>
      <c r="I58" s="2"/>
      <c r="J58" s="7">
        <f t="shared" si="13"/>
        <v>7.6227956145548631E-4</v>
      </c>
      <c r="K58" s="2"/>
      <c r="L58" s="6">
        <f t="shared" si="14"/>
        <v>-381.69</v>
      </c>
      <c r="M58" s="2"/>
      <c r="N58" s="7">
        <f t="shared" si="15"/>
        <v>-0.50892000000000004</v>
      </c>
      <c r="O58" s="11"/>
      <c r="P58" s="6">
        <v>797.36</v>
      </c>
      <c r="Q58" s="2"/>
      <c r="R58" s="7">
        <f t="shared" si="16"/>
        <v>9.3280227462622686E-4</v>
      </c>
      <c r="S58" s="2"/>
      <c r="T58" s="6">
        <v>1500</v>
      </c>
      <c r="U58" s="2"/>
      <c r="V58" s="7">
        <f t="shared" si="17"/>
        <v>1.4425934367768998E-3</v>
      </c>
      <c r="W58" s="2"/>
      <c r="X58" s="6">
        <f t="shared" si="18"/>
        <v>-702.64</v>
      </c>
      <c r="Y58" s="2"/>
      <c r="Z58" s="7">
        <f t="shared" si="19"/>
        <v>-0.46842666666666666</v>
      </c>
    </row>
    <row r="59" spans="1:26" s="29" customFormat="1" outlineLevel="1" collapsed="1" x14ac:dyDescent="0.25">
      <c r="A59" s="28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35256.06</v>
      </c>
      <c r="E59" s="1"/>
      <c r="F59" s="5">
        <f t="shared" ref="F59:F69" si="20">IF(D$12=0,0,D59/D$12)</f>
        <v>4.3308828148587351E-2</v>
      </c>
      <c r="G59" s="1"/>
      <c r="H59" s="1">
        <f>SUM(OSRRefH22_1x_0)</f>
        <v>47547.502143692298</v>
      </c>
      <c r="I59" s="1"/>
      <c r="J59" s="5">
        <f t="shared" ref="J59:J69" si="21">IF(H$12=0,0,H59/H$12)</f>
        <v>4.8325985443196752E-2</v>
      </c>
      <c r="K59" s="1"/>
      <c r="L59" s="1">
        <f t="shared" ref="L59:L69" si="22">+D59-H59</f>
        <v>-12291.4421436923</v>
      </c>
      <c r="M59" s="1"/>
      <c r="N59" s="5">
        <f t="shared" ref="N59:N69" si="23">IF(H59=0,0,L59/H59)</f>
        <v>-0.25850868267583421</v>
      </c>
      <c r="O59" s="14"/>
      <c r="P59" s="1">
        <f>SUM(OSRRefP22_1x_0)</f>
        <v>64557.290000000008</v>
      </c>
      <c r="Q59" s="1"/>
      <c r="R59" s="5">
        <f t="shared" ref="R59:R69" si="24">IF(P$12=0,0,P59/P$12)</f>
        <v>7.5523210288583539E-2</v>
      </c>
      <c r="S59" s="1"/>
      <c r="T59" s="1">
        <f>SUM(OSRRefT22_1x_0)</f>
        <v>75590.254823307696</v>
      </c>
      <c r="U59" s="1"/>
      <c r="V59" s="5">
        <f t="shared" ref="V59:V69" si="25">IF(T$12=0,0,T59/T$12)</f>
        <v>7.2697336994931389E-2</v>
      </c>
      <c r="W59" s="1"/>
      <c r="X59" s="1">
        <f t="shared" ref="X59:X69" si="26">+P59-T59</f>
        <v>-11032.964823307688</v>
      </c>
      <c r="Y59" s="1"/>
      <c r="Z59" s="5">
        <f t="shared" ref="Z59:Z69" si="27">IF(T59=0,0,X59/T59)</f>
        <v>-0.14595750271112665</v>
      </c>
    </row>
    <row r="60" spans="1:26" s="24" customFormat="1" hidden="1" outlineLevel="2" x14ac:dyDescent="0.25">
      <c r="A60" s="27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>
        <v>-311.32</v>
      </c>
      <c r="Q60" s="2"/>
      <c r="R60" s="7">
        <f t="shared" si="24"/>
        <v>-3.6420187134623874E-4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-311.32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"6002", " - ", "STAFF SALARIES")</f>
        <v xml:space="preserve">          6002 - STAFF SALARIES</v>
      </c>
      <c r="C61" s="11"/>
      <c r="D61" s="6">
        <v>14705.64</v>
      </c>
      <c r="E61" s="2"/>
      <c r="F61" s="7">
        <f t="shared" si="20"/>
        <v>1.8064526653715478E-2</v>
      </c>
      <c r="G61" s="2"/>
      <c r="H61" s="6">
        <v>13107.2520636923</v>
      </c>
      <c r="I61" s="2"/>
      <c r="J61" s="7">
        <f t="shared" si="21"/>
        <v>1.3321853806663847E-2</v>
      </c>
      <c r="K61" s="2"/>
      <c r="L61" s="6">
        <f t="shared" si="22"/>
        <v>1598.3879363076994</v>
      </c>
      <c r="M61" s="2"/>
      <c r="N61" s="7">
        <f t="shared" si="23"/>
        <v>0.12194683741036068</v>
      </c>
      <c r="O61" s="11"/>
      <c r="P61" s="6">
        <v>33135.4</v>
      </c>
      <c r="Q61" s="2"/>
      <c r="R61" s="7">
        <f t="shared" si="24"/>
        <v>3.8763891455114226E-2</v>
      </c>
      <c r="S61" s="2"/>
      <c r="T61" s="6">
        <v>29491.3171433077</v>
      </c>
      <c r="U61" s="2"/>
      <c r="V61" s="7">
        <f t="shared" si="25"/>
        <v>2.8362653701894506E-2</v>
      </c>
      <c r="W61" s="2"/>
      <c r="X61" s="6">
        <f t="shared" si="26"/>
        <v>3644.082856692301</v>
      </c>
      <c r="Y61" s="2"/>
      <c r="Z61" s="7">
        <f t="shared" si="27"/>
        <v>0.12356460170919265</v>
      </c>
    </row>
    <row r="62" spans="1:26" s="24" customFormat="1" hidden="1" outlineLevel="2" x14ac:dyDescent="0.25">
      <c r="A62" s="27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7"/>
      <c r="B63" s="11" t="str">
        <f>CONCATENATE("          ", "6004", " - ", "STAFF HOURLY")</f>
        <v xml:space="preserve">          6004 - STAFF HOURLY</v>
      </c>
      <c r="C63" s="11"/>
      <c r="D63" s="6">
        <v>6665.13</v>
      </c>
      <c r="E63" s="2"/>
      <c r="F63" s="7">
        <f t="shared" si="20"/>
        <v>8.1874993904025029E-3</v>
      </c>
      <c r="G63" s="2"/>
      <c r="H63" s="6">
        <v>5285.7500799999998</v>
      </c>
      <c r="I63" s="2"/>
      <c r="J63" s="7">
        <f t="shared" si="21"/>
        <v>5.3722923372609352E-3</v>
      </c>
      <c r="K63" s="2"/>
      <c r="L63" s="6">
        <f t="shared" si="22"/>
        <v>1379.3799200000003</v>
      </c>
      <c r="M63" s="2"/>
      <c r="N63" s="7">
        <f t="shared" si="23"/>
        <v>0.26096200144218706</v>
      </c>
      <c r="O63" s="11"/>
      <c r="P63" s="6">
        <v>12173.1</v>
      </c>
      <c r="Q63" s="2"/>
      <c r="R63" s="7">
        <f t="shared" si="24"/>
        <v>1.4240864062973466E-2</v>
      </c>
      <c r="S63" s="2"/>
      <c r="T63" s="6">
        <v>11892.937679999999</v>
      </c>
      <c r="U63" s="2"/>
      <c r="V63" s="7">
        <f t="shared" si="25"/>
        <v>1.1437782560776459E-2</v>
      </c>
      <c r="W63" s="2"/>
      <c r="X63" s="6">
        <f t="shared" si="26"/>
        <v>280.16232000000127</v>
      </c>
      <c r="Y63" s="2"/>
      <c r="Z63" s="7">
        <f t="shared" si="27"/>
        <v>2.3557032546394484E-2</v>
      </c>
    </row>
    <row r="64" spans="1:26" s="24" customFormat="1" hidden="1" outlineLevel="2" x14ac:dyDescent="0.25">
      <c r="A64" s="27"/>
      <c r="B64" s="11" t="str">
        <f>CONCATENATE("          ", "6005", " - ", "TEMPORARY WAGES-HOURLY")</f>
        <v xml:space="preserve">          6005 - TEMPORARY WAGES-HOURLY</v>
      </c>
      <c r="C64" s="11"/>
      <c r="D64" s="6">
        <v>3708.03</v>
      </c>
      <c r="E64" s="2"/>
      <c r="F64" s="7">
        <f t="shared" si="20"/>
        <v>4.5549739261791129E-3</v>
      </c>
      <c r="G64" s="2"/>
      <c r="H64" s="6">
        <v>3619.5</v>
      </c>
      <c r="I64" s="2"/>
      <c r="J64" s="7">
        <f t="shared" si="21"/>
        <v>3.678761163584177E-3</v>
      </c>
      <c r="K64" s="2"/>
      <c r="L64" s="6">
        <f t="shared" si="22"/>
        <v>88.5300000000002</v>
      </c>
      <c r="M64" s="2"/>
      <c r="N64" s="7">
        <f t="shared" si="23"/>
        <v>2.4459179444674736E-2</v>
      </c>
      <c r="O64" s="11"/>
      <c r="P64" s="6">
        <v>5694.05</v>
      </c>
      <c r="Q64" s="2"/>
      <c r="R64" s="7">
        <f t="shared" si="24"/>
        <v>6.6612606499391333E-3</v>
      </c>
      <c r="S64" s="2"/>
      <c r="T64" s="6">
        <v>7296</v>
      </c>
      <c r="U64" s="2"/>
      <c r="V64" s="7">
        <f t="shared" si="25"/>
        <v>7.016774476482841E-3</v>
      </c>
      <c r="W64" s="2"/>
      <c r="X64" s="6">
        <f t="shared" si="26"/>
        <v>-1601.9499999999998</v>
      </c>
      <c r="Y64" s="2"/>
      <c r="Z64" s="7">
        <f t="shared" si="27"/>
        <v>-0.21956551535087718</v>
      </c>
    </row>
    <row r="65" spans="1:26" s="24" customFormat="1" hidden="1" outlineLevel="2" x14ac:dyDescent="0.25">
      <c r="A65" s="27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>
        <v>502.29</v>
      </c>
      <c r="Q65" s="2"/>
      <c r="R65" s="7">
        <f t="shared" si="24"/>
        <v>5.8761068340775499E-4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502.29</v>
      </c>
      <c r="Y65" s="2"/>
      <c r="Z65" s="7">
        <f t="shared" si="27"/>
        <v>0</v>
      </c>
    </row>
    <row r="66" spans="1:26" s="24" customFormat="1" hidden="1" outlineLevel="2" x14ac:dyDescent="0.25">
      <c r="A66" s="27"/>
      <c r="B66" s="11" t="str">
        <f>CONCATENATE("          ", "6007", " - ", "STUDENT HOURLY")</f>
        <v xml:space="preserve">          6007 - STUDENT HOURLY</v>
      </c>
      <c r="C66" s="11"/>
      <c r="D66" s="6">
        <v>10177.26</v>
      </c>
      <c r="E66" s="2"/>
      <c r="F66" s="7">
        <f t="shared" si="20"/>
        <v>1.2501828178290261E-2</v>
      </c>
      <c r="G66" s="2"/>
      <c r="H66" s="6">
        <v>12012.5</v>
      </c>
      <c r="I66" s="2"/>
      <c r="J66" s="7">
        <f t="shared" si="21"/>
        <v>1.2209177642645373E-2</v>
      </c>
      <c r="K66" s="2"/>
      <c r="L66" s="6">
        <f t="shared" si="22"/>
        <v>-1835.2399999999998</v>
      </c>
      <c r="M66" s="2"/>
      <c r="N66" s="7">
        <f t="shared" si="23"/>
        <v>-0.15277752341311132</v>
      </c>
      <c r="O66" s="11"/>
      <c r="P66" s="6">
        <v>13363.77</v>
      </c>
      <c r="Q66" s="2"/>
      <c r="R66" s="7">
        <f t="shared" si="24"/>
        <v>1.5633785308495199E-2</v>
      </c>
      <c r="S66" s="2"/>
      <c r="T66" s="6">
        <v>13387.5</v>
      </c>
      <c r="U66" s="2"/>
      <c r="V66" s="7">
        <f t="shared" si="25"/>
        <v>1.2875146423233832E-2</v>
      </c>
      <c r="W66" s="2"/>
      <c r="X66" s="6">
        <f t="shared" si="26"/>
        <v>-23.729999999999563</v>
      </c>
      <c r="Y66" s="2"/>
      <c r="Z66" s="7">
        <f t="shared" si="27"/>
        <v>-1.7725490196078106E-3</v>
      </c>
    </row>
    <row r="67" spans="1:26" s="24" customFormat="1" hidden="1" outlineLevel="2" x14ac:dyDescent="0.25">
      <c r="A67" s="27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0"/>
        <v>0</v>
      </c>
      <c r="G67" s="2"/>
      <c r="H67" s="6">
        <v>13522.5</v>
      </c>
      <c r="I67" s="2"/>
      <c r="J67" s="7">
        <f t="shared" si="21"/>
        <v>1.3743900493042419E-2</v>
      </c>
      <c r="K67" s="2"/>
      <c r="L67" s="6">
        <f t="shared" si="22"/>
        <v>-13522.5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13522.5</v>
      </c>
      <c r="U67" s="2"/>
      <c r="V67" s="7">
        <f t="shared" si="25"/>
        <v>1.3004979832543753E-2</v>
      </c>
      <c r="W67" s="2"/>
      <c r="X67" s="6">
        <f t="shared" si="26"/>
        <v>-13522.5</v>
      </c>
      <c r="Y67" s="2"/>
      <c r="Z67" s="7">
        <f t="shared" si="27"/>
        <v>-1</v>
      </c>
    </row>
    <row r="68" spans="1:26" s="24" customFormat="1" hidden="1" outlineLevel="2" x14ac:dyDescent="0.25">
      <c r="A68" s="27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9" customFormat="1" outlineLevel="1" collapsed="1" x14ac:dyDescent="0.25">
      <c r="A70" s="28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109.98</v>
      </c>
      <c r="E70" s="1"/>
      <c r="F70" s="5">
        <f t="shared" ref="F70:F82" si="28">IF(D$12=0,0,D70/D$12)</f>
        <v>1.3510031806678448E-4</v>
      </c>
      <c r="G70" s="1"/>
      <c r="H70" s="1">
        <f>SUM(OSRRefH22_2x_0)</f>
        <v>800</v>
      </c>
      <c r="I70" s="1"/>
      <c r="J70" s="5">
        <f t="shared" ref="J70:J82" si="29">IF(H$12=0,0,H70/H$12)</f>
        <v>8.1309819888585207E-4</v>
      </c>
      <c r="K70" s="1"/>
      <c r="L70" s="1">
        <f t="shared" ref="L70:L82" si="30">+D70-H70</f>
        <v>-690.02</v>
      </c>
      <c r="M70" s="1"/>
      <c r="N70" s="5">
        <f t="shared" ref="N70:N82" si="31">IF(H70=0,0,L70/H70)</f>
        <v>-0.86252499999999999</v>
      </c>
      <c r="O70" s="14"/>
      <c r="P70" s="1">
        <f>SUM(OSRRefP22_2x_0)</f>
        <v>1359.88</v>
      </c>
      <c r="Q70" s="1"/>
      <c r="R70" s="5">
        <f t="shared" ref="R70:R82" si="32">IF(P$12=0,0,P70/P$12)</f>
        <v>1.5908738301629295E-3</v>
      </c>
      <c r="S70" s="1"/>
      <c r="T70" s="1">
        <f>SUM(OSRRefT22_2x_0)</f>
        <v>900</v>
      </c>
      <c r="U70" s="1"/>
      <c r="V70" s="5">
        <f t="shared" ref="V70:V82" si="33">IF(T$12=0,0,T70/T$12)</f>
        <v>8.6555606206613995E-4</v>
      </c>
      <c r="W70" s="1"/>
      <c r="X70" s="1">
        <f t="shared" ref="X70:X82" si="34">+P70-T70</f>
        <v>459.88000000000011</v>
      </c>
      <c r="Y70" s="1"/>
      <c r="Z70" s="5">
        <f t="shared" ref="Z70:Z82" si="35">IF(T70=0,0,X70/T70)</f>
        <v>0.51097777777777786</v>
      </c>
    </row>
    <row r="71" spans="1:26" s="24" customFormat="1" hidden="1" outlineLevel="2" x14ac:dyDescent="0.25">
      <c r="A71" s="27"/>
      <c r="B71" s="11" t="str">
        <f>CONCATENATE("          ", "6362", " - ", "ADVERTISING EXPENSE")</f>
        <v xml:space="preserve">          6362 - ADVERTISING EXPENSE</v>
      </c>
      <c r="C71" s="11"/>
      <c r="D71" s="6">
        <v>109.98</v>
      </c>
      <c r="E71" s="2"/>
      <c r="F71" s="7">
        <f t="shared" si="28"/>
        <v>1.3510031806678448E-4</v>
      </c>
      <c r="G71" s="2"/>
      <c r="H71" s="6">
        <v>800</v>
      </c>
      <c r="I71" s="2"/>
      <c r="J71" s="7">
        <f t="shared" si="29"/>
        <v>8.1309819888585207E-4</v>
      </c>
      <c r="K71" s="2"/>
      <c r="L71" s="6">
        <f t="shared" si="30"/>
        <v>-690.02</v>
      </c>
      <c r="M71" s="2"/>
      <c r="N71" s="7">
        <f t="shared" si="31"/>
        <v>-0.86252499999999999</v>
      </c>
      <c r="O71" s="11"/>
      <c r="P71" s="6">
        <v>1359.88</v>
      </c>
      <c r="Q71" s="2"/>
      <c r="R71" s="7">
        <f t="shared" si="32"/>
        <v>1.5908738301629295E-3</v>
      </c>
      <c r="S71" s="2"/>
      <c r="T71" s="6">
        <v>900</v>
      </c>
      <c r="U71" s="2"/>
      <c r="V71" s="7">
        <f t="shared" si="33"/>
        <v>8.6555606206613995E-4</v>
      </c>
      <c r="W71" s="2"/>
      <c r="X71" s="6">
        <f t="shared" si="34"/>
        <v>459.88000000000011</v>
      </c>
      <c r="Y71" s="2"/>
      <c r="Z71" s="7">
        <f t="shared" si="35"/>
        <v>0.51097777777777786</v>
      </c>
    </row>
    <row r="72" spans="1:26" s="29" customFormat="1" outlineLevel="1" collapsed="1" x14ac:dyDescent="0.25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SUM(OSRRefD22_3x_0)</f>
        <v>0</v>
      </c>
      <c r="E72" s="1"/>
      <c r="F72" s="5">
        <f t="shared" si="28"/>
        <v>0</v>
      </c>
      <c r="G72" s="1"/>
      <c r="H72" s="1">
        <f>SUM(OSRRefH22_3x_0)</f>
        <v>4000</v>
      </c>
      <c r="I72" s="1"/>
      <c r="J72" s="5">
        <f t="shared" si="29"/>
        <v>4.0654909944292609E-3</v>
      </c>
      <c r="K72" s="1"/>
      <c r="L72" s="1">
        <f t="shared" si="30"/>
        <v>-4000</v>
      </c>
      <c r="M72" s="1"/>
      <c r="N72" s="5">
        <f t="shared" si="31"/>
        <v>-1</v>
      </c>
      <c r="O72" s="14"/>
      <c r="P72" s="1">
        <f>SUM(OSRRefP22_3x_0)</f>
        <v>0</v>
      </c>
      <c r="Q72" s="1"/>
      <c r="R72" s="5">
        <f t="shared" si="32"/>
        <v>0</v>
      </c>
      <c r="S72" s="1"/>
      <c r="T72" s="1">
        <f>SUM(OSRRefT22_3x_0)</f>
        <v>5000</v>
      </c>
      <c r="U72" s="1"/>
      <c r="V72" s="5">
        <f t="shared" si="33"/>
        <v>4.808644789256333E-3</v>
      </c>
      <c r="W72" s="1"/>
      <c r="X72" s="1">
        <f t="shared" si="34"/>
        <v>-5000</v>
      </c>
      <c r="Y72" s="1"/>
      <c r="Z72" s="5">
        <f t="shared" si="35"/>
        <v>-1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28"/>
        <v>0</v>
      </c>
      <c r="G73" s="2"/>
      <c r="H73" s="6">
        <v>4000</v>
      </c>
      <c r="I73" s="2"/>
      <c r="J73" s="7">
        <f t="shared" si="29"/>
        <v>4.0654909944292609E-3</v>
      </c>
      <c r="K73" s="2"/>
      <c r="L73" s="6">
        <f t="shared" si="30"/>
        <v>-4000</v>
      </c>
      <c r="M73" s="2"/>
      <c r="N73" s="7">
        <f t="shared" si="31"/>
        <v>-1</v>
      </c>
      <c r="O73" s="11"/>
      <c r="P73" s="6"/>
      <c r="Q73" s="2"/>
      <c r="R73" s="7">
        <f t="shared" si="32"/>
        <v>0</v>
      </c>
      <c r="S73" s="2"/>
      <c r="T73" s="6">
        <v>5000</v>
      </c>
      <c r="U73" s="2"/>
      <c r="V73" s="7">
        <f t="shared" si="33"/>
        <v>4.808644789256333E-3</v>
      </c>
      <c r="W73" s="2"/>
      <c r="X73" s="6">
        <f t="shared" si="34"/>
        <v>-5000</v>
      </c>
      <c r="Y73" s="2"/>
      <c r="Z73" s="7">
        <f t="shared" si="35"/>
        <v>-1</v>
      </c>
    </row>
    <row r="74" spans="1:26" s="29" customFormat="1" outlineLevel="1" collapsed="1" x14ac:dyDescent="0.25">
      <c r="A74" s="28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75</v>
      </c>
      <c r="I74" s="1"/>
      <c r="J74" s="5">
        <f t="shared" si="29"/>
        <v>7.6227956145548628E-5</v>
      </c>
      <c r="K74" s="1"/>
      <c r="L74" s="1">
        <f t="shared" si="30"/>
        <v>-75</v>
      </c>
      <c r="M74" s="1"/>
      <c r="N74" s="5">
        <f t="shared" si="31"/>
        <v>-1</v>
      </c>
      <c r="O74" s="14"/>
      <c r="P74" s="1">
        <f>SUM(OSRRefP22_4x_0)</f>
        <v>107.7</v>
      </c>
      <c r="Q74" s="1"/>
      <c r="R74" s="5">
        <f t="shared" si="32"/>
        <v>1.2599428736987639E-4</v>
      </c>
      <c r="S74" s="1"/>
      <c r="T74" s="1">
        <f>SUM(OSRRefT22_4x_0)</f>
        <v>150</v>
      </c>
      <c r="U74" s="1"/>
      <c r="V74" s="5">
        <f t="shared" si="33"/>
        <v>1.4425934367769E-4</v>
      </c>
      <c r="W74" s="1"/>
      <c r="X74" s="1">
        <f t="shared" si="34"/>
        <v>-42.3</v>
      </c>
      <c r="Y74" s="1"/>
      <c r="Z74" s="5">
        <f t="shared" si="35"/>
        <v>-0.28199999999999997</v>
      </c>
    </row>
    <row r="75" spans="1:26" s="24" customFormat="1" hidden="1" outlineLevel="2" x14ac:dyDescent="0.25">
      <c r="A75" s="27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28"/>
        <v>0</v>
      </c>
      <c r="G75" s="2"/>
      <c r="H75" s="6">
        <v>75</v>
      </c>
      <c r="I75" s="2"/>
      <c r="J75" s="7">
        <f t="shared" si="29"/>
        <v>7.6227956145548628E-5</v>
      </c>
      <c r="K75" s="2"/>
      <c r="L75" s="6">
        <f t="shared" si="30"/>
        <v>-75</v>
      </c>
      <c r="M75" s="2"/>
      <c r="N75" s="7">
        <f t="shared" si="31"/>
        <v>-1</v>
      </c>
      <c r="O75" s="11"/>
      <c r="P75" s="6">
        <v>107.7</v>
      </c>
      <c r="Q75" s="2"/>
      <c r="R75" s="7">
        <f t="shared" si="32"/>
        <v>1.2599428736987639E-4</v>
      </c>
      <c r="S75" s="2"/>
      <c r="T75" s="6">
        <v>150</v>
      </c>
      <c r="U75" s="2"/>
      <c r="V75" s="7">
        <f t="shared" si="33"/>
        <v>1.4425934367769E-4</v>
      </c>
      <c r="W75" s="2"/>
      <c r="X75" s="6">
        <f t="shared" si="34"/>
        <v>-42.3</v>
      </c>
      <c r="Y75" s="2"/>
      <c r="Z75" s="7">
        <f t="shared" si="35"/>
        <v>-0.28199999999999997</v>
      </c>
    </row>
    <row r="76" spans="1:26" s="29" customFormat="1" outlineLevel="1" collapsed="1" x14ac:dyDescent="0.25">
      <c r="A76" s="28"/>
      <c r="B76" s="14" t="str">
        <f>CONCATENATE("     ","Equipment Rental                                  ")</f>
        <v xml:space="preserve">     Equipment Rental                                  </v>
      </c>
      <c r="C76" s="14"/>
      <c r="D76" s="1">
        <f>SUM(OSRRefD22_5x_0)</f>
        <v>91.26</v>
      </c>
      <c r="E76" s="1"/>
      <c r="F76" s="5">
        <f t="shared" si="28"/>
        <v>1.1210451924690626E-4</v>
      </c>
      <c r="G76" s="1"/>
      <c r="H76" s="1">
        <f>SUM(OSRRefH22_5x_0)</f>
        <v>100</v>
      </c>
      <c r="I76" s="1"/>
      <c r="J76" s="5">
        <f t="shared" si="29"/>
        <v>1.0163727486073151E-4</v>
      </c>
      <c r="K76" s="1"/>
      <c r="L76" s="1">
        <f t="shared" si="30"/>
        <v>-8.7399999999999949</v>
      </c>
      <c r="M76" s="1"/>
      <c r="N76" s="5">
        <f t="shared" si="31"/>
        <v>-8.739999999999995E-2</v>
      </c>
      <c r="O76" s="14"/>
      <c r="P76" s="1">
        <f>SUM(OSRRefP22_5x_0)</f>
        <v>182.52</v>
      </c>
      <c r="Q76" s="1"/>
      <c r="R76" s="5">
        <f t="shared" si="32"/>
        <v>2.1352346639507742E-4</v>
      </c>
      <c r="S76" s="1"/>
      <c r="T76" s="1">
        <f>SUM(OSRRefT22_5x_0)</f>
        <v>200</v>
      </c>
      <c r="U76" s="1"/>
      <c r="V76" s="5">
        <f t="shared" si="33"/>
        <v>1.9234579157025332E-4</v>
      </c>
      <c r="W76" s="1"/>
      <c r="X76" s="1">
        <f t="shared" si="34"/>
        <v>-17.47999999999999</v>
      </c>
      <c r="Y76" s="1"/>
      <c r="Z76" s="5">
        <f t="shared" si="35"/>
        <v>-8.739999999999995E-2</v>
      </c>
    </row>
    <row r="77" spans="1:26" s="24" customFormat="1" hidden="1" outlineLevel="2" x14ac:dyDescent="0.25">
      <c r="A77" s="27"/>
      <c r="B77" s="11" t="str">
        <f>CONCATENATE("          ", "6351", " - ", "EQUIPMENT RENTAL")</f>
        <v xml:space="preserve">          6351 - EQUIPMENT RENTAL</v>
      </c>
      <c r="C77" s="11"/>
      <c r="D77" s="6">
        <v>91.26</v>
      </c>
      <c r="E77" s="2"/>
      <c r="F77" s="7">
        <f t="shared" si="28"/>
        <v>1.1210451924690626E-4</v>
      </c>
      <c r="G77" s="2"/>
      <c r="H77" s="6">
        <v>100</v>
      </c>
      <c r="I77" s="2"/>
      <c r="J77" s="7">
        <f t="shared" si="29"/>
        <v>1.0163727486073151E-4</v>
      </c>
      <c r="K77" s="2"/>
      <c r="L77" s="6">
        <f t="shared" si="30"/>
        <v>-8.7399999999999949</v>
      </c>
      <c r="M77" s="2"/>
      <c r="N77" s="7">
        <f t="shared" si="31"/>
        <v>-8.739999999999995E-2</v>
      </c>
      <c r="O77" s="11"/>
      <c r="P77" s="6">
        <v>182.52</v>
      </c>
      <c r="Q77" s="2"/>
      <c r="R77" s="7">
        <f t="shared" si="32"/>
        <v>2.1352346639507742E-4</v>
      </c>
      <c r="S77" s="2"/>
      <c r="T77" s="6">
        <v>200</v>
      </c>
      <c r="U77" s="2"/>
      <c r="V77" s="7">
        <f t="shared" si="33"/>
        <v>1.9234579157025332E-4</v>
      </c>
      <c r="W77" s="2"/>
      <c r="X77" s="6">
        <f t="shared" si="34"/>
        <v>-17.47999999999999</v>
      </c>
      <c r="Y77" s="2"/>
      <c r="Z77" s="7">
        <f t="shared" si="35"/>
        <v>-8.739999999999995E-2</v>
      </c>
    </row>
    <row r="78" spans="1:26" s="29" customFormat="1" outlineLevel="1" collapsed="1" x14ac:dyDescent="0.25">
      <c r="A78" s="28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333.31</v>
      </c>
      <c r="E78" s="1"/>
      <c r="F78" s="5">
        <f t="shared" si="28"/>
        <v>4.0944068935115413E-4</v>
      </c>
      <c r="G78" s="1"/>
      <c r="H78" s="1">
        <f>SUM(OSRRefH22_6x_0)</f>
        <v>800</v>
      </c>
      <c r="I78" s="1"/>
      <c r="J78" s="5">
        <f t="shared" si="29"/>
        <v>8.1309819888585207E-4</v>
      </c>
      <c r="K78" s="1"/>
      <c r="L78" s="1">
        <f t="shared" si="30"/>
        <v>-466.69</v>
      </c>
      <c r="M78" s="1"/>
      <c r="N78" s="5">
        <f t="shared" si="31"/>
        <v>-0.58336250000000001</v>
      </c>
      <c r="O78" s="14"/>
      <c r="P78" s="1">
        <f>SUM(OSRRefP22_6x_0)</f>
        <v>500.81</v>
      </c>
      <c r="Q78" s="1"/>
      <c r="R78" s="5">
        <f t="shared" si="32"/>
        <v>5.8587928558688756E-4</v>
      </c>
      <c r="S78" s="1"/>
      <c r="T78" s="1">
        <f>SUM(OSRRefT22_6x_0)</f>
        <v>1300</v>
      </c>
      <c r="U78" s="1"/>
      <c r="V78" s="5">
        <f t="shared" si="33"/>
        <v>1.2502476452066465E-3</v>
      </c>
      <c r="W78" s="1"/>
      <c r="X78" s="1">
        <f t="shared" si="34"/>
        <v>-799.19</v>
      </c>
      <c r="Y78" s="1"/>
      <c r="Z78" s="5">
        <f t="shared" si="35"/>
        <v>-0.61476153846153847</v>
      </c>
    </row>
    <row r="79" spans="1:26" s="24" customFormat="1" hidden="1" outlineLevel="2" x14ac:dyDescent="0.25">
      <c r="A79" s="27"/>
      <c r="B79" s="11" t="str">
        <f>CONCATENATE("          ", "6305", " - ", "FREIGHT OUT")</f>
        <v xml:space="preserve">          6305 - FREIGHT OUT</v>
      </c>
      <c r="C79" s="11"/>
      <c r="D79" s="6">
        <v>333.31</v>
      </c>
      <c r="E79" s="2"/>
      <c r="F79" s="7">
        <f t="shared" si="28"/>
        <v>4.0944068935115413E-4</v>
      </c>
      <c r="G79" s="2"/>
      <c r="H79" s="6">
        <v>800</v>
      </c>
      <c r="I79" s="2"/>
      <c r="J79" s="7">
        <f t="shared" si="29"/>
        <v>8.1309819888585207E-4</v>
      </c>
      <c r="K79" s="2"/>
      <c r="L79" s="6">
        <f t="shared" si="30"/>
        <v>-466.69</v>
      </c>
      <c r="M79" s="2"/>
      <c r="N79" s="7">
        <f t="shared" si="31"/>
        <v>-0.58336250000000001</v>
      </c>
      <c r="O79" s="11"/>
      <c r="P79" s="6">
        <v>500.81</v>
      </c>
      <c r="Q79" s="2"/>
      <c r="R79" s="7">
        <f t="shared" si="32"/>
        <v>5.8587928558688756E-4</v>
      </c>
      <c r="S79" s="2"/>
      <c r="T79" s="6">
        <v>1300</v>
      </c>
      <c r="U79" s="2"/>
      <c r="V79" s="7">
        <f t="shared" si="33"/>
        <v>1.2502476452066465E-3</v>
      </c>
      <c r="W79" s="2"/>
      <c r="X79" s="6">
        <f t="shared" si="34"/>
        <v>-799.19</v>
      </c>
      <c r="Y79" s="2"/>
      <c r="Z79" s="7">
        <f t="shared" si="35"/>
        <v>-0.61476153846153847</v>
      </c>
    </row>
    <row r="80" spans="1:26" s="29" customFormat="1" outlineLevel="1" collapsed="1" x14ac:dyDescent="0.25">
      <c r="A80" s="28"/>
      <c r="B80" s="14" t="str">
        <f>CONCATENATE("     ","General                                           ")</f>
        <v xml:space="preserve">     General                                           </v>
      </c>
      <c r="C80" s="14"/>
      <c r="D80" s="1">
        <f>SUM(OSRRefD22_7x_0)</f>
        <v>0</v>
      </c>
      <c r="E80" s="1"/>
      <c r="F80" s="5">
        <f t="shared" si="28"/>
        <v>0</v>
      </c>
      <c r="G80" s="1"/>
      <c r="H80" s="1">
        <f>SUM(OSRRefH22_7x_0)</f>
        <v>125</v>
      </c>
      <c r="I80" s="1"/>
      <c r="J80" s="5">
        <f t="shared" si="29"/>
        <v>1.270465935759144E-4</v>
      </c>
      <c r="K80" s="1"/>
      <c r="L80" s="1">
        <f t="shared" si="30"/>
        <v>-125</v>
      </c>
      <c r="M80" s="1"/>
      <c r="N80" s="5">
        <f t="shared" si="31"/>
        <v>-1</v>
      </c>
      <c r="O80" s="14"/>
      <c r="P80" s="1">
        <f>SUM(OSRRefP22_7x_0)</f>
        <v>-4794.1899999999996</v>
      </c>
      <c r="Q80" s="1"/>
      <c r="R80" s="5">
        <f t="shared" si="32"/>
        <v>-5.6085473775839148E-3</v>
      </c>
      <c r="S80" s="1"/>
      <c r="T80" s="1">
        <f>SUM(OSRRefT22_7x_0)</f>
        <v>125</v>
      </c>
      <c r="U80" s="1"/>
      <c r="V80" s="5">
        <f t="shared" si="33"/>
        <v>1.2021611973140833E-4</v>
      </c>
      <c r="W80" s="1"/>
      <c r="X80" s="1">
        <f t="shared" si="34"/>
        <v>-4919.1899999999996</v>
      </c>
      <c r="Y80" s="1"/>
      <c r="Z80" s="5">
        <f t="shared" si="35"/>
        <v>-39.353519999999996</v>
      </c>
    </row>
    <row r="81" spans="1:26" s="24" customFormat="1" hidden="1" outlineLevel="2" x14ac:dyDescent="0.25">
      <c r="A81" s="27"/>
      <c r="B81" s="11" t="str">
        <f>CONCATENATE("          ", "6269", " - ", "ENTERTAINMENT")</f>
        <v xml:space="preserve">          6269 - ENTERTAINMENT</v>
      </c>
      <c r="C81" s="11"/>
      <c r="D81" s="6"/>
      <c r="E81" s="2"/>
      <c r="F81" s="7">
        <f t="shared" si="28"/>
        <v>0</v>
      </c>
      <c r="G81" s="2"/>
      <c r="H81" s="6">
        <v>125</v>
      </c>
      <c r="I81" s="2"/>
      <c r="J81" s="7">
        <f t="shared" si="29"/>
        <v>1.270465935759144E-4</v>
      </c>
      <c r="K81" s="2"/>
      <c r="L81" s="6">
        <f t="shared" si="30"/>
        <v>-125</v>
      </c>
      <c r="M81" s="2"/>
      <c r="N81" s="7">
        <f t="shared" si="31"/>
        <v>-1</v>
      </c>
      <c r="O81" s="11"/>
      <c r="P81" s="6"/>
      <c r="Q81" s="2"/>
      <c r="R81" s="7">
        <f t="shared" si="32"/>
        <v>0</v>
      </c>
      <c r="S81" s="2"/>
      <c r="T81" s="6">
        <v>125</v>
      </c>
      <c r="U81" s="2"/>
      <c r="V81" s="7">
        <f t="shared" si="33"/>
        <v>1.2021611973140833E-4</v>
      </c>
      <c r="W81" s="2"/>
      <c r="X81" s="6">
        <f t="shared" si="34"/>
        <v>-125</v>
      </c>
      <c r="Y81" s="2"/>
      <c r="Z81" s="7">
        <f t="shared" si="35"/>
        <v>-1</v>
      </c>
    </row>
    <row r="82" spans="1:26" s="24" customFormat="1" hidden="1" outlineLevel="2" x14ac:dyDescent="0.25">
      <c r="A82" s="27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28"/>
        <v>0</v>
      </c>
      <c r="G82" s="2"/>
      <c r="H82" s="6"/>
      <c r="I82" s="2"/>
      <c r="J82" s="7">
        <f t="shared" si="29"/>
        <v>0</v>
      </c>
      <c r="K82" s="2"/>
      <c r="L82" s="6">
        <f t="shared" si="30"/>
        <v>0</v>
      </c>
      <c r="M82" s="2"/>
      <c r="N82" s="7">
        <f t="shared" si="31"/>
        <v>0</v>
      </c>
      <c r="O82" s="11"/>
      <c r="P82" s="6">
        <v>-4794.1899999999996</v>
      </c>
      <c r="Q82" s="2"/>
      <c r="R82" s="7">
        <f t="shared" si="32"/>
        <v>-5.6085473775839148E-3</v>
      </c>
      <c r="S82" s="2"/>
      <c r="T82" s="6"/>
      <c r="U82" s="2"/>
      <c r="V82" s="7">
        <f t="shared" si="33"/>
        <v>0</v>
      </c>
      <c r="W82" s="2"/>
      <c r="X82" s="6">
        <f t="shared" si="34"/>
        <v>-4794.1899999999996</v>
      </c>
      <c r="Y82" s="2"/>
      <c r="Z82" s="7">
        <f t="shared" si="35"/>
        <v>0</v>
      </c>
    </row>
    <row r="83" spans="1:26" s="29" customFormat="1" outlineLevel="1" collapsed="1" x14ac:dyDescent="0.25">
      <c r="A83" s="28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1000</v>
      </c>
      <c r="E83" s="1"/>
      <c r="F83" s="5">
        <f t="shared" ref="F83:F87" si="36">IF(D$12=0,0,D83/D$12)</f>
        <v>1.2284080566174257E-3</v>
      </c>
      <c r="G83" s="1"/>
      <c r="H83" s="1">
        <f>SUM(OSRRefH22_8x_0)</f>
        <v>1000</v>
      </c>
      <c r="I83" s="1"/>
      <c r="J83" s="5">
        <f t="shared" ref="J83:J87" si="37">IF(H$12=0,0,H83/H$12)</f>
        <v>1.0163727486073152E-3</v>
      </c>
      <c r="K83" s="1"/>
      <c r="L83" s="1">
        <f t="shared" ref="L83:L87" si="38">+D83-H83</f>
        <v>0</v>
      </c>
      <c r="M83" s="1"/>
      <c r="N83" s="5">
        <f t="shared" ref="N83:N87" si="39">IF(H83=0,0,L83/H83)</f>
        <v>0</v>
      </c>
      <c r="O83" s="14"/>
      <c r="P83" s="1">
        <f>SUM(OSRRefP22_8x_0)</f>
        <v>2000</v>
      </c>
      <c r="Q83" s="1"/>
      <c r="R83" s="5">
        <f t="shared" ref="R83:R87" si="40">IF(P$12=0,0,P83/P$12)</f>
        <v>2.3397267849559217E-3</v>
      </c>
      <c r="S83" s="1"/>
      <c r="T83" s="1">
        <f>SUM(OSRRefT22_8x_0)</f>
        <v>2000</v>
      </c>
      <c r="U83" s="1"/>
      <c r="V83" s="5">
        <f t="shared" ref="V83:V87" si="41">IF(T$12=0,0,T83/T$12)</f>
        <v>1.9234579157025333E-3</v>
      </c>
      <c r="W83" s="1"/>
      <c r="X83" s="1">
        <f t="shared" ref="X83:X87" si="42">+P83-T83</f>
        <v>0</v>
      </c>
      <c r="Y83" s="1"/>
      <c r="Z83" s="5">
        <f t="shared" ref="Z83:Z87" si="43">IF(T83=0,0,X83/T83)</f>
        <v>0</v>
      </c>
    </row>
    <row r="84" spans="1:26" s="24" customFormat="1" hidden="1" outlineLevel="2" x14ac:dyDescent="0.25">
      <c r="A84" s="27"/>
      <c r="B84" s="11" t="str">
        <f>CONCATENATE("          ", "6408", " - ", "INVENTORY ADJUSTMENT")</f>
        <v xml:space="preserve">          6408 - INVENTORY ADJUSTMENT</v>
      </c>
      <c r="C84" s="11"/>
      <c r="D84" s="6">
        <v>1000</v>
      </c>
      <c r="E84" s="2"/>
      <c r="F84" s="7">
        <f t="shared" si="36"/>
        <v>1.2284080566174257E-3</v>
      </c>
      <c r="G84" s="2"/>
      <c r="H84" s="6">
        <v>1000</v>
      </c>
      <c r="I84" s="2"/>
      <c r="J84" s="7">
        <f t="shared" si="37"/>
        <v>1.0163727486073152E-3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2000</v>
      </c>
      <c r="Q84" s="2"/>
      <c r="R84" s="7">
        <f t="shared" si="40"/>
        <v>2.3397267849559217E-3</v>
      </c>
      <c r="S84" s="2"/>
      <c r="T84" s="6">
        <v>2000</v>
      </c>
      <c r="U84" s="2"/>
      <c r="V84" s="7">
        <f t="shared" si="41"/>
        <v>1.9234579157025333E-3</v>
      </c>
      <c r="W84" s="2"/>
      <c r="X84" s="6">
        <f t="shared" si="42"/>
        <v>0</v>
      </c>
      <c r="Y84" s="2"/>
      <c r="Z84" s="7">
        <f t="shared" si="43"/>
        <v>0</v>
      </c>
    </row>
    <row r="85" spans="1:26" s="29" customFormat="1" outlineLevel="1" collapsed="1" x14ac:dyDescent="0.25">
      <c r="A85" s="28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140</v>
      </c>
      <c r="I85" s="1"/>
      <c r="J85" s="5">
        <f t="shared" si="37"/>
        <v>1.4229218480502412E-4</v>
      </c>
      <c r="K85" s="1"/>
      <c r="L85" s="1">
        <f t="shared" si="38"/>
        <v>-140</v>
      </c>
      <c r="M85" s="1"/>
      <c r="N85" s="5">
        <f t="shared" si="39"/>
        <v>-1</v>
      </c>
      <c r="O85" s="14"/>
      <c r="P85" s="1">
        <f>SUM(OSRRefP22_9x_0)</f>
        <v>22.86</v>
      </c>
      <c r="Q85" s="1"/>
      <c r="R85" s="5">
        <f t="shared" si="40"/>
        <v>2.6743077152046184E-5</v>
      </c>
      <c r="S85" s="1"/>
      <c r="T85" s="1">
        <f>SUM(OSRRefT22_9x_0)</f>
        <v>280</v>
      </c>
      <c r="U85" s="1"/>
      <c r="V85" s="5">
        <f t="shared" si="41"/>
        <v>2.6928410819835463E-4</v>
      </c>
      <c r="W85" s="1"/>
      <c r="X85" s="1">
        <f t="shared" si="42"/>
        <v>-257.14</v>
      </c>
      <c r="Y85" s="1"/>
      <c r="Z85" s="5">
        <f t="shared" si="43"/>
        <v>-0.91835714285714276</v>
      </c>
    </row>
    <row r="86" spans="1:26" s="24" customFormat="1" hidden="1" outlineLevel="2" x14ac:dyDescent="0.25">
      <c r="A86" s="27"/>
      <c r="B86" s="11" t="str">
        <f>CONCATENATE("          ", "6373", " - ", "MAINTENANCE CONTRACTS")</f>
        <v xml:space="preserve">          6373 - MAINTENANCE CONTRACTS</v>
      </c>
      <c r="C86" s="11"/>
      <c r="D86" s="6"/>
      <c r="E86" s="2"/>
      <c r="F86" s="7">
        <f t="shared" si="36"/>
        <v>0</v>
      </c>
      <c r="G86" s="2"/>
      <c r="H86" s="6">
        <v>40</v>
      </c>
      <c r="I86" s="2"/>
      <c r="J86" s="7">
        <f t="shared" si="37"/>
        <v>4.0654909944292605E-5</v>
      </c>
      <c r="K86" s="2"/>
      <c r="L86" s="6">
        <f t="shared" si="38"/>
        <v>-40</v>
      </c>
      <c r="M86" s="2"/>
      <c r="N86" s="7">
        <f t="shared" si="39"/>
        <v>-1</v>
      </c>
      <c r="O86" s="11"/>
      <c r="P86" s="6">
        <v>22.86</v>
      </c>
      <c r="Q86" s="2"/>
      <c r="R86" s="7">
        <f t="shared" si="40"/>
        <v>2.6743077152046184E-5</v>
      </c>
      <c r="S86" s="2"/>
      <c r="T86" s="6">
        <v>80</v>
      </c>
      <c r="U86" s="2"/>
      <c r="V86" s="7">
        <f t="shared" si="41"/>
        <v>7.6938316628101329E-5</v>
      </c>
      <c r="W86" s="2"/>
      <c r="X86" s="6">
        <f t="shared" si="42"/>
        <v>-57.14</v>
      </c>
      <c r="Y86" s="2"/>
      <c r="Z86" s="7">
        <f t="shared" si="43"/>
        <v>-0.71425000000000005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6"/>
      <c r="E87" s="2"/>
      <c r="F87" s="7">
        <f t="shared" si="36"/>
        <v>0</v>
      </c>
      <c r="G87" s="2"/>
      <c r="H87" s="6">
        <v>100</v>
      </c>
      <c r="I87" s="2"/>
      <c r="J87" s="7">
        <f t="shared" si="37"/>
        <v>1.0163727486073151E-4</v>
      </c>
      <c r="K87" s="2"/>
      <c r="L87" s="6">
        <f t="shared" si="38"/>
        <v>-100</v>
      </c>
      <c r="M87" s="2"/>
      <c r="N87" s="7">
        <f t="shared" si="39"/>
        <v>-1</v>
      </c>
      <c r="O87" s="11"/>
      <c r="P87" s="6"/>
      <c r="Q87" s="2"/>
      <c r="R87" s="7">
        <f t="shared" si="40"/>
        <v>0</v>
      </c>
      <c r="S87" s="2"/>
      <c r="T87" s="6">
        <v>200</v>
      </c>
      <c r="U87" s="2"/>
      <c r="V87" s="7">
        <f t="shared" si="41"/>
        <v>1.9234579157025332E-4</v>
      </c>
      <c r="W87" s="2"/>
      <c r="X87" s="6">
        <f t="shared" si="42"/>
        <v>-200</v>
      </c>
      <c r="Y87" s="2"/>
      <c r="Z87" s="7">
        <f t="shared" si="43"/>
        <v>-1</v>
      </c>
    </row>
    <row r="88" spans="1:26" s="29" customFormat="1" outlineLevel="1" collapsed="1" x14ac:dyDescent="0.25">
      <c r="A88" s="28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SUM(OSRRefD22_10x_0)</f>
        <v>270</v>
      </c>
      <c r="E88" s="1"/>
      <c r="F88" s="5">
        <f t="shared" ref="F88:F93" si="44">IF(D$12=0,0,D88/D$12)</f>
        <v>3.3167017528670491E-4</v>
      </c>
      <c r="G88" s="1"/>
      <c r="H88" s="1">
        <f>SUM(OSRRefH22_10x_0)</f>
        <v>300</v>
      </c>
      <c r="I88" s="1"/>
      <c r="J88" s="5">
        <f t="shared" ref="J88:J93" si="45">IF(H$12=0,0,H88/H$12)</f>
        <v>3.0491182458219451E-4</v>
      </c>
      <c r="K88" s="1"/>
      <c r="L88" s="1">
        <f t="shared" ref="L88:L93" si="46">+D88-H88</f>
        <v>-30</v>
      </c>
      <c r="M88" s="1"/>
      <c r="N88" s="5">
        <f t="shared" ref="N88:N93" si="47">IF(H88=0,0,L88/H88)</f>
        <v>-0.1</v>
      </c>
      <c r="O88" s="14"/>
      <c r="P88" s="1">
        <f>SUM(OSRRefP22_10x_0)</f>
        <v>560</v>
      </c>
      <c r="Q88" s="1"/>
      <c r="R88" s="5">
        <f t="shared" ref="R88:R93" si="48">IF(P$12=0,0,P88/P$12)</f>
        <v>6.5512349978765806E-4</v>
      </c>
      <c r="S88" s="1"/>
      <c r="T88" s="1">
        <f>SUM(OSRRefT22_10x_0)</f>
        <v>600</v>
      </c>
      <c r="U88" s="1"/>
      <c r="V88" s="5">
        <f t="shared" ref="V88:V93" si="49">IF(T$12=0,0,T88/T$12)</f>
        <v>5.7703737471076E-4</v>
      </c>
      <c r="W88" s="1"/>
      <c r="X88" s="1">
        <f t="shared" ref="X88:X93" si="50">+P88-T88</f>
        <v>-40</v>
      </c>
      <c r="Y88" s="1"/>
      <c r="Z88" s="5">
        <f t="shared" ref="Z88:Z93" si="51">IF(T88=0,0,X88/T88)</f>
        <v>-6.6666666666666666E-2</v>
      </c>
    </row>
    <row r="89" spans="1:26" s="24" customFormat="1" hidden="1" outlineLevel="2" x14ac:dyDescent="0.25">
      <c r="A89" s="27"/>
      <c r="B89" s="11" t="str">
        <f>CONCATENATE("          ", "6258", " - ", "MEMBERSHIP DUES")</f>
        <v xml:space="preserve">          6258 - MEMBERSHIP DUES</v>
      </c>
      <c r="C89" s="11"/>
      <c r="D89" s="6">
        <v>270</v>
      </c>
      <c r="E89" s="2"/>
      <c r="F89" s="7">
        <f t="shared" si="44"/>
        <v>3.3167017528670491E-4</v>
      </c>
      <c r="G89" s="2"/>
      <c r="H89" s="6">
        <v>300</v>
      </c>
      <c r="I89" s="2"/>
      <c r="J89" s="7">
        <f t="shared" si="45"/>
        <v>3.0491182458219451E-4</v>
      </c>
      <c r="K89" s="2"/>
      <c r="L89" s="6">
        <f t="shared" si="46"/>
        <v>-30</v>
      </c>
      <c r="M89" s="2"/>
      <c r="N89" s="7">
        <f t="shared" si="47"/>
        <v>-0.1</v>
      </c>
      <c r="O89" s="11"/>
      <c r="P89" s="6">
        <v>560</v>
      </c>
      <c r="Q89" s="2"/>
      <c r="R89" s="7">
        <f t="shared" si="48"/>
        <v>6.5512349978765806E-4</v>
      </c>
      <c r="S89" s="2"/>
      <c r="T89" s="6">
        <v>600</v>
      </c>
      <c r="U89" s="2"/>
      <c r="V89" s="7">
        <f t="shared" si="49"/>
        <v>5.7703737471076E-4</v>
      </c>
      <c r="W89" s="2"/>
      <c r="X89" s="6">
        <f t="shared" si="50"/>
        <v>-40</v>
      </c>
      <c r="Y89" s="2"/>
      <c r="Z89" s="7">
        <f t="shared" si="51"/>
        <v>-6.6666666666666666E-2</v>
      </c>
    </row>
    <row r="90" spans="1:26" s="29" customFormat="1" outlineLevel="1" collapsed="1" x14ac:dyDescent="0.25">
      <c r="A90" s="28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SUM(OSRRefD22_11x_0)</f>
        <v>197.4</v>
      </c>
      <c r="E90" s="1"/>
      <c r="F90" s="5">
        <f t="shared" si="44"/>
        <v>2.4248775037627983E-4</v>
      </c>
      <c r="G90" s="1"/>
      <c r="H90" s="1">
        <f>SUM(OSRRefH22_11x_0)</f>
        <v>1700</v>
      </c>
      <c r="I90" s="1"/>
      <c r="J90" s="5">
        <f t="shared" si="45"/>
        <v>1.7278336726324357E-3</v>
      </c>
      <c r="K90" s="1"/>
      <c r="L90" s="1">
        <f t="shared" si="46"/>
        <v>-1502.6</v>
      </c>
      <c r="M90" s="1"/>
      <c r="N90" s="5">
        <f t="shared" si="47"/>
        <v>-0.88388235294117645</v>
      </c>
      <c r="O90" s="14"/>
      <c r="P90" s="1">
        <f>SUM(OSRRefP22_11x_0)</f>
        <v>990.16000000000008</v>
      </c>
      <c r="Q90" s="1"/>
      <c r="R90" s="5">
        <f t="shared" si="48"/>
        <v>1.1583519366959779E-3</v>
      </c>
      <c r="S90" s="1"/>
      <c r="T90" s="1">
        <f>SUM(OSRRefT22_11x_0)</f>
        <v>2600</v>
      </c>
      <c r="U90" s="1"/>
      <c r="V90" s="5">
        <f t="shared" si="49"/>
        <v>2.500495290413293E-3</v>
      </c>
      <c r="W90" s="1"/>
      <c r="X90" s="1">
        <f t="shared" si="50"/>
        <v>-1609.84</v>
      </c>
      <c r="Y90" s="1"/>
      <c r="Z90" s="5">
        <f t="shared" si="51"/>
        <v>-0.61916923076923069</v>
      </c>
    </row>
    <row r="91" spans="1:26" s="24" customFormat="1" hidden="1" outlineLevel="2" x14ac:dyDescent="0.25">
      <c r="A91" s="27"/>
      <c r="B91" s="11" t="str">
        <f>CONCATENATE("          ", "6241", " - ", "OFFICE EXPENSE")</f>
        <v xml:space="preserve">          6241 - OFFICE EXPENSE</v>
      </c>
      <c r="C91" s="11"/>
      <c r="D91" s="6">
        <v>197.4</v>
      </c>
      <c r="E91" s="2"/>
      <c r="F91" s="7">
        <f t="shared" si="44"/>
        <v>2.4248775037627983E-4</v>
      </c>
      <c r="G91" s="2"/>
      <c r="H91" s="6">
        <v>600</v>
      </c>
      <c r="I91" s="2"/>
      <c r="J91" s="7">
        <f t="shared" si="45"/>
        <v>6.0982364916438902E-4</v>
      </c>
      <c r="K91" s="2"/>
      <c r="L91" s="6">
        <f t="shared" si="46"/>
        <v>-402.6</v>
      </c>
      <c r="M91" s="2"/>
      <c r="N91" s="7">
        <f t="shared" si="47"/>
        <v>-0.67100000000000004</v>
      </c>
      <c r="O91" s="11"/>
      <c r="P91" s="6">
        <v>357.06</v>
      </c>
      <c r="Q91" s="2"/>
      <c r="R91" s="7">
        <f t="shared" si="48"/>
        <v>4.177114229181807E-4</v>
      </c>
      <c r="S91" s="2"/>
      <c r="T91" s="6">
        <v>900</v>
      </c>
      <c r="U91" s="2"/>
      <c r="V91" s="7">
        <f t="shared" si="49"/>
        <v>8.6555606206613995E-4</v>
      </c>
      <c r="W91" s="2"/>
      <c r="X91" s="6">
        <f t="shared" si="50"/>
        <v>-542.94000000000005</v>
      </c>
      <c r="Y91" s="2"/>
      <c r="Z91" s="7">
        <f t="shared" si="51"/>
        <v>-0.60326666666666673</v>
      </c>
    </row>
    <row r="92" spans="1:26" s="24" customFormat="1" hidden="1" outlineLevel="2" x14ac:dyDescent="0.25">
      <c r="A92" s="27"/>
      <c r="B92" s="11" t="str">
        <f>CONCATENATE("          ", "6245", " - ", "PRINTING")</f>
        <v xml:space="preserve">          6245 - PRINTING</v>
      </c>
      <c r="C92" s="11"/>
      <c r="D92" s="6"/>
      <c r="E92" s="2"/>
      <c r="F92" s="7">
        <f t="shared" si="44"/>
        <v>0</v>
      </c>
      <c r="G92" s="2"/>
      <c r="H92" s="6">
        <v>400</v>
      </c>
      <c r="I92" s="2"/>
      <c r="J92" s="7">
        <f t="shared" si="45"/>
        <v>4.0654909944292603E-4</v>
      </c>
      <c r="K92" s="2"/>
      <c r="L92" s="6">
        <f t="shared" si="46"/>
        <v>-400</v>
      </c>
      <c r="M92" s="2"/>
      <c r="N92" s="7">
        <f t="shared" si="47"/>
        <v>-1</v>
      </c>
      <c r="O92" s="11"/>
      <c r="P92" s="6"/>
      <c r="Q92" s="2"/>
      <c r="R92" s="7">
        <f t="shared" si="48"/>
        <v>0</v>
      </c>
      <c r="S92" s="2"/>
      <c r="T92" s="6">
        <v>500</v>
      </c>
      <c r="U92" s="2"/>
      <c r="V92" s="7">
        <f t="shared" si="49"/>
        <v>4.8086447892563332E-4</v>
      </c>
      <c r="W92" s="2"/>
      <c r="X92" s="6">
        <f t="shared" si="50"/>
        <v>-500</v>
      </c>
      <c r="Y92" s="2"/>
      <c r="Z92" s="7">
        <f t="shared" si="51"/>
        <v>-1</v>
      </c>
    </row>
    <row r="93" spans="1:26" s="24" customFormat="1" hidden="1" outlineLevel="2" x14ac:dyDescent="0.25">
      <c r="A93" s="27"/>
      <c r="B93" s="11" t="str">
        <f>CONCATENATE("          ", "6247", " - ", "STORE SUPPLIES")</f>
        <v xml:space="preserve">          6247 - STORE SUPPLIES</v>
      </c>
      <c r="C93" s="11"/>
      <c r="D93" s="6"/>
      <c r="E93" s="2"/>
      <c r="F93" s="7">
        <f t="shared" si="44"/>
        <v>0</v>
      </c>
      <c r="G93" s="2"/>
      <c r="H93" s="6">
        <v>700</v>
      </c>
      <c r="I93" s="2"/>
      <c r="J93" s="7">
        <f t="shared" si="45"/>
        <v>7.1146092402512055E-4</v>
      </c>
      <c r="K93" s="2"/>
      <c r="L93" s="6">
        <f t="shared" si="46"/>
        <v>-700</v>
      </c>
      <c r="M93" s="2"/>
      <c r="N93" s="7">
        <f t="shared" si="47"/>
        <v>-1</v>
      </c>
      <c r="O93" s="11"/>
      <c r="P93" s="6">
        <v>633.1</v>
      </c>
      <c r="Q93" s="2"/>
      <c r="R93" s="7">
        <f t="shared" si="48"/>
        <v>7.4064051377779698E-4</v>
      </c>
      <c r="S93" s="2"/>
      <c r="T93" s="6">
        <v>1200</v>
      </c>
      <c r="U93" s="2"/>
      <c r="V93" s="7">
        <f t="shared" si="49"/>
        <v>1.15407474942152E-3</v>
      </c>
      <c r="W93" s="2"/>
      <c r="X93" s="6">
        <f t="shared" si="50"/>
        <v>-566.9</v>
      </c>
      <c r="Y93" s="2"/>
      <c r="Z93" s="7">
        <f t="shared" si="51"/>
        <v>-0.47241666666666665</v>
      </c>
    </row>
    <row r="94" spans="1:26" s="29" customFormat="1" outlineLevel="1" collapsed="1" x14ac:dyDescent="0.25">
      <c r="A94" s="28"/>
      <c r="B94" s="14" t="str">
        <f>CONCATENATE("     ","Telephone/Data Lines                              ")</f>
        <v xml:space="preserve">     Telephone/Data Lines                              </v>
      </c>
      <c r="C94" s="14"/>
      <c r="D94" s="1">
        <f>SUM(OSRRefD22_12x_0)</f>
        <v>472.8</v>
      </c>
      <c r="E94" s="1"/>
      <c r="F94" s="5">
        <f t="shared" ref="F94:F96" si="52">IF(D$12=0,0,D94/D$12)</f>
        <v>5.8079132916871886E-4</v>
      </c>
      <c r="G94" s="1"/>
      <c r="H94" s="1">
        <f>SUM(OSRRefH22_12x_0)</f>
        <v>1000</v>
      </c>
      <c r="I94" s="1"/>
      <c r="J94" s="5">
        <f t="shared" ref="J94:J96" si="53">IF(H$12=0,0,H94/H$12)</f>
        <v>1.0163727486073152E-3</v>
      </c>
      <c r="K94" s="1"/>
      <c r="L94" s="1">
        <f t="shared" ref="L94:L96" si="54">+D94-H94</f>
        <v>-527.20000000000005</v>
      </c>
      <c r="M94" s="1"/>
      <c r="N94" s="5">
        <f t="shared" ref="N94:N96" si="55">IF(H94=0,0,L94/H94)</f>
        <v>-0.5272</v>
      </c>
      <c r="O94" s="14"/>
      <c r="P94" s="1">
        <f>SUM(OSRRefP22_12x_0)</f>
        <v>1233.3</v>
      </c>
      <c r="Q94" s="1"/>
      <c r="R94" s="5">
        <f t="shared" ref="R94:R96" si="56">IF(P$12=0,0,P94/P$12)</f>
        <v>1.4427925219430691E-3</v>
      </c>
      <c r="S94" s="1"/>
      <c r="T94" s="1">
        <f>SUM(OSRRefT22_12x_0)</f>
        <v>1600</v>
      </c>
      <c r="U94" s="1"/>
      <c r="V94" s="5">
        <f t="shared" ref="V94:V96" si="57">IF(T$12=0,0,T94/T$12)</f>
        <v>1.5387663325620265E-3</v>
      </c>
      <c r="W94" s="1"/>
      <c r="X94" s="1">
        <f t="shared" ref="X94:X96" si="58">+P94-T94</f>
        <v>-366.70000000000005</v>
      </c>
      <c r="Y94" s="1"/>
      <c r="Z94" s="5">
        <f t="shared" ref="Z94:Z96" si="59">IF(T94=0,0,X94/T94)</f>
        <v>-0.22918750000000002</v>
      </c>
    </row>
    <row r="95" spans="1:26" s="24" customFormat="1" hidden="1" outlineLevel="2" x14ac:dyDescent="0.25">
      <c r="A95" s="27"/>
      <c r="B95" s="11" t="str">
        <f>CONCATENATE("          ", "6303", " - ", "DATA PHONE LINES")</f>
        <v xml:space="preserve">          6303 - DATA PHONE LINES</v>
      </c>
      <c r="C95" s="11"/>
      <c r="D95" s="6"/>
      <c r="E95" s="2"/>
      <c r="F95" s="7">
        <f t="shared" si="52"/>
        <v>0</v>
      </c>
      <c r="G95" s="2"/>
      <c r="H95" s="6">
        <v>300</v>
      </c>
      <c r="I95" s="2"/>
      <c r="J95" s="7">
        <f t="shared" si="53"/>
        <v>3.0491182458219451E-4</v>
      </c>
      <c r="K95" s="2"/>
      <c r="L95" s="6">
        <f t="shared" si="54"/>
        <v>-300</v>
      </c>
      <c r="M95" s="2"/>
      <c r="N95" s="7">
        <f t="shared" si="55"/>
        <v>-1</v>
      </c>
      <c r="O95" s="11"/>
      <c r="P95" s="6">
        <v>295</v>
      </c>
      <c r="Q95" s="2"/>
      <c r="R95" s="7">
        <f t="shared" si="56"/>
        <v>3.4510970078099846E-4</v>
      </c>
      <c r="S95" s="2"/>
      <c r="T95" s="6">
        <v>600</v>
      </c>
      <c r="U95" s="2"/>
      <c r="V95" s="7">
        <f t="shared" si="57"/>
        <v>5.7703737471076E-4</v>
      </c>
      <c r="W95" s="2"/>
      <c r="X95" s="6">
        <f t="shared" si="58"/>
        <v>-305</v>
      </c>
      <c r="Y95" s="2"/>
      <c r="Z95" s="7">
        <f t="shared" si="59"/>
        <v>-0.5083333333333333</v>
      </c>
    </row>
    <row r="96" spans="1:26" s="24" customFormat="1" hidden="1" outlineLevel="2" x14ac:dyDescent="0.25">
      <c r="A96" s="27"/>
      <c r="B96" s="11" t="str">
        <f>CONCATENATE("          ", "6309", " - ", "TELEPHONE")</f>
        <v xml:space="preserve">          6309 - TELEPHONE</v>
      </c>
      <c r="C96" s="11"/>
      <c r="D96" s="6">
        <v>472.8</v>
      </c>
      <c r="E96" s="2"/>
      <c r="F96" s="7">
        <f t="shared" si="52"/>
        <v>5.8079132916871886E-4</v>
      </c>
      <c r="G96" s="2"/>
      <c r="H96" s="6">
        <v>700</v>
      </c>
      <c r="I96" s="2"/>
      <c r="J96" s="7">
        <f t="shared" si="53"/>
        <v>7.1146092402512055E-4</v>
      </c>
      <c r="K96" s="2"/>
      <c r="L96" s="6">
        <f t="shared" si="54"/>
        <v>-227.2</v>
      </c>
      <c r="M96" s="2"/>
      <c r="N96" s="7">
        <f t="shared" si="55"/>
        <v>-0.32457142857142857</v>
      </c>
      <c r="O96" s="11"/>
      <c r="P96" s="6">
        <v>938.3</v>
      </c>
      <c r="Q96" s="2"/>
      <c r="R96" s="7">
        <f t="shared" si="56"/>
        <v>1.0976828211620706E-3</v>
      </c>
      <c r="S96" s="2"/>
      <c r="T96" s="6">
        <v>1000</v>
      </c>
      <c r="U96" s="2"/>
      <c r="V96" s="7">
        <f t="shared" si="57"/>
        <v>9.6172895785126664E-4</v>
      </c>
      <c r="W96" s="2"/>
      <c r="X96" s="6">
        <f t="shared" si="58"/>
        <v>-61.700000000000045</v>
      </c>
      <c r="Y96" s="2"/>
      <c r="Z96" s="7">
        <f t="shared" si="59"/>
        <v>-6.1700000000000046E-2</v>
      </c>
    </row>
    <row r="97" spans="1:26" s="29" customFormat="1" outlineLevel="1" collapsed="1" x14ac:dyDescent="0.25">
      <c r="A97" s="28"/>
      <c r="B97" s="14" t="str">
        <f>CONCATENATE("     ","Travel                                            ")</f>
        <v xml:space="preserve">     Travel                                            </v>
      </c>
      <c r="C97" s="14"/>
      <c r="D97" s="1">
        <f>SUM(OSRRefD22_13x_0)</f>
        <v>0</v>
      </c>
      <c r="E97" s="1"/>
      <c r="F97" s="5">
        <f t="shared" ref="F97:F98" si="60">IF(D$12=0,0,D97/D$12)</f>
        <v>0</v>
      </c>
      <c r="G97" s="1"/>
      <c r="H97" s="1">
        <f>SUM(OSRRefH22_13x_0)</f>
        <v>0</v>
      </c>
      <c r="I97" s="1"/>
      <c r="J97" s="5">
        <f t="shared" ref="J97:J98" si="61">IF(H$12=0,0,H97/H$12)</f>
        <v>0</v>
      </c>
      <c r="K97" s="1"/>
      <c r="L97" s="1">
        <f t="shared" ref="L97:L98" si="62">+D97-H97</f>
        <v>0</v>
      </c>
      <c r="M97" s="1"/>
      <c r="N97" s="5">
        <f t="shared" ref="N97:N98" si="63">IF(H97=0,0,L97/H97)</f>
        <v>0</v>
      </c>
      <c r="O97" s="14"/>
      <c r="P97" s="1">
        <f>SUM(OSRRefP22_13x_0)</f>
        <v>0.16</v>
      </c>
      <c r="Q97" s="1"/>
      <c r="R97" s="5">
        <f t="shared" ref="R97:R98" si="64">IF(P$12=0,0,P97/P$12)</f>
        <v>1.8717814279647373E-7</v>
      </c>
      <c r="S97" s="1"/>
      <c r="T97" s="1">
        <f>SUM(OSRRefT22_13x_0)</f>
        <v>0</v>
      </c>
      <c r="U97" s="1"/>
      <c r="V97" s="5">
        <f t="shared" ref="V97:V98" si="65">IF(T$12=0,0,T97/T$12)</f>
        <v>0</v>
      </c>
      <c r="W97" s="1"/>
      <c r="X97" s="1">
        <f t="shared" ref="X97:X98" si="66">+P97-T97</f>
        <v>0.16</v>
      </c>
      <c r="Y97" s="1"/>
      <c r="Z97" s="5">
        <f t="shared" ref="Z97:Z98" si="67">IF(T97=0,0,X97/T97)</f>
        <v>0</v>
      </c>
    </row>
    <row r="98" spans="1:26" s="24" customFormat="1" hidden="1" outlineLevel="2" x14ac:dyDescent="0.25">
      <c r="A98" s="27"/>
      <c r="B98" s="11" t="str">
        <f>CONCATENATE("          ", "6292", " - ", "TRAVEL/CONFERENCE")</f>
        <v xml:space="preserve">          6292 - TRAVEL/CONFERENCE</v>
      </c>
      <c r="C98" s="11"/>
      <c r="D98" s="6"/>
      <c r="E98" s="2"/>
      <c r="F98" s="7">
        <f t="shared" si="60"/>
        <v>0</v>
      </c>
      <c r="G98" s="2"/>
      <c r="H98" s="6"/>
      <c r="I98" s="2"/>
      <c r="J98" s="7">
        <f t="shared" si="61"/>
        <v>0</v>
      </c>
      <c r="K98" s="2"/>
      <c r="L98" s="6">
        <f t="shared" si="62"/>
        <v>0</v>
      </c>
      <c r="M98" s="2"/>
      <c r="N98" s="7">
        <f t="shared" si="63"/>
        <v>0</v>
      </c>
      <c r="O98" s="11"/>
      <c r="P98" s="6">
        <v>0.16</v>
      </c>
      <c r="Q98" s="2"/>
      <c r="R98" s="7">
        <f t="shared" si="64"/>
        <v>1.8717814279647373E-7</v>
      </c>
      <c r="S98" s="2"/>
      <c r="T98" s="6"/>
      <c r="U98" s="2"/>
      <c r="V98" s="7">
        <f t="shared" si="65"/>
        <v>0</v>
      </c>
      <c r="W98" s="2"/>
      <c r="X98" s="6">
        <f t="shared" si="66"/>
        <v>0.16</v>
      </c>
      <c r="Y98" s="2"/>
      <c r="Z98" s="7">
        <f t="shared" si="67"/>
        <v>0</v>
      </c>
    </row>
    <row r="99" spans="1:26" s="61" customFormat="1" x14ac:dyDescent="0.25">
      <c r="A99" s="36"/>
      <c r="B99" s="36"/>
      <c r="C99" s="36"/>
      <c r="D99" s="1"/>
      <c r="E99" s="1"/>
      <c r="F99" s="5"/>
      <c r="G99" s="1"/>
      <c r="H99" s="1"/>
      <c r="I99" s="1"/>
      <c r="J99" s="5"/>
      <c r="K99" s="1"/>
      <c r="L99" s="1"/>
      <c r="M99" s="1"/>
      <c r="N99" s="5"/>
      <c r="O99" s="36"/>
      <c r="P99" s="1"/>
      <c r="Q99" s="1"/>
      <c r="R99" s="5"/>
      <c r="S99" s="1"/>
      <c r="T99" s="1"/>
      <c r="U99" s="1"/>
      <c r="V99" s="5"/>
      <c r="W99" s="1"/>
      <c r="X99" s="1"/>
      <c r="Y99" s="1"/>
      <c r="Z99" s="5"/>
    </row>
    <row r="100" spans="1:26" s="22" customFormat="1" collapsed="1" x14ac:dyDescent="0.25">
      <c r="A100" s="10"/>
      <c r="B100" s="25" t="s">
        <v>0</v>
      </c>
      <c r="C100" s="10"/>
      <c r="D100" s="4">
        <f>SUM(OSRRefD25x_0)</f>
        <v>1890.48</v>
      </c>
      <c r="E100" s="4"/>
      <c r="F100" s="12">
        <f t="shared" ref="F100:F103" si="68">IF(D$12=0,0,D100/D$12)</f>
        <v>2.3222808628741106E-3</v>
      </c>
      <c r="G100" s="4"/>
      <c r="H100" s="4">
        <f>SUM(OSRRefH25x_0)</f>
        <v>5000</v>
      </c>
      <c r="I100" s="4"/>
      <c r="J100" s="12">
        <f t="shared" ref="J100:J103" si="69">IF(H$12=0,0,H100/H$12)</f>
        <v>5.0818637430365757E-3</v>
      </c>
      <c r="K100" s="4"/>
      <c r="L100" s="4">
        <f t="shared" ref="L100:L103" si="70">+D100-H100</f>
        <v>-3109.52</v>
      </c>
      <c r="M100" s="4"/>
      <c r="N100" s="12">
        <f t="shared" ref="N100:N103" si="71">IF(H100=0,0,L100/H100)</f>
        <v>-0.62190400000000001</v>
      </c>
      <c r="O100" s="10"/>
      <c r="P100" s="4">
        <f>SUM(OSRRefP25x_0)</f>
        <v>3947.41</v>
      </c>
      <c r="Q100" s="4"/>
      <c r="R100" s="12">
        <f t="shared" ref="R100:R103" si="72">IF(P$12=0,0,P100/P$12)</f>
        <v>4.6179304541014276E-3</v>
      </c>
      <c r="S100" s="4"/>
      <c r="T100" s="4">
        <f>SUM(OSRRefT25x_0)</f>
        <v>5700</v>
      </c>
      <c r="U100" s="4"/>
      <c r="V100" s="12">
        <f t="shared" ref="V100:V103" si="73">IF(T$12=0,0,T100/T$12)</f>
        <v>5.4818550597522196E-3</v>
      </c>
      <c r="W100" s="4"/>
      <c r="X100" s="4">
        <f t="shared" ref="X100:X103" si="74">+P100-T100</f>
        <v>-1752.5900000000001</v>
      </c>
      <c r="Y100" s="4"/>
      <c r="Z100" s="12">
        <f t="shared" ref="Z100:Z103" si="75">IF(T100=0,0,X100/T100)</f>
        <v>-0.30747192982456145</v>
      </c>
    </row>
    <row r="101" spans="1:26" s="24" customFormat="1" hidden="1" outlineLevel="1" x14ac:dyDescent="0.25">
      <c r="A101" s="51"/>
      <c r="B101" s="11" t="str">
        <f>CONCATENATE("          ", "9150", " - ", "MISC. INCOME")</f>
        <v xml:space="preserve">          9150 - MISC. INCOME</v>
      </c>
      <c r="C101" s="11"/>
      <c r="D101" s="2">
        <f>--1818.48</f>
        <v>1818.48</v>
      </c>
      <c r="E101" s="2"/>
      <c r="F101" s="23">
        <f t="shared" si="68"/>
        <v>2.233835482797656E-3</v>
      </c>
      <c r="G101" s="2"/>
      <c r="H101" s="2">
        <v>5000</v>
      </c>
      <c r="I101" s="2"/>
      <c r="J101" s="23">
        <f t="shared" si="69"/>
        <v>5.0818637430365757E-3</v>
      </c>
      <c r="K101" s="2"/>
      <c r="L101" s="2">
        <f t="shared" si="70"/>
        <v>-3181.52</v>
      </c>
      <c r="M101" s="2"/>
      <c r="N101" s="23">
        <f t="shared" si="71"/>
        <v>-0.63630399999999998</v>
      </c>
      <c r="O101" s="11"/>
      <c r="P101" s="2">
        <f>--2401.02</f>
        <v>2401.02</v>
      </c>
      <c r="Q101" s="2"/>
      <c r="R101" s="23">
        <f t="shared" si="72"/>
        <v>2.8088654026074333E-3</v>
      </c>
      <c r="S101" s="2"/>
      <c r="T101" s="2">
        <v>5500</v>
      </c>
      <c r="U101" s="2"/>
      <c r="V101" s="23">
        <f t="shared" si="73"/>
        <v>5.2895092681819666E-3</v>
      </c>
      <c r="W101" s="2"/>
      <c r="X101" s="2">
        <f t="shared" si="74"/>
        <v>-3098.98</v>
      </c>
      <c r="Y101" s="2"/>
      <c r="Z101" s="23">
        <f t="shared" si="75"/>
        <v>-0.56345090909090911</v>
      </c>
    </row>
    <row r="102" spans="1:26" s="24" customFormat="1" hidden="1" outlineLevel="1" x14ac:dyDescent="0.25">
      <c r="A102" s="51"/>
      <c r="B102" s="11" t="str">
        <f>CONCATENATE("          ", "9151", " - ", "MISC. INCOME")</f>
        <v xml:space="preserve">          9151 - MISC. INCOME</v>
      </c>
      <c r="C102" s="11"/>
      <c r="D102" s="2">
        <f>0</f>
        <v>0</v>
      </c>
      <c r="E102" s="2"/>
      <c r="F102" s="23">
        <f t="shared" si="68"/>
        <v>0</v>
      </c>
      <c r="G102" s="2"/>
      <c r="H102" s="2"/>
      <c r="I102" s="2"/>
      <c r="J102" s="23">
        <f t="shared" si="69"/>
        <v>0</v>
      </c>
      <c r="K102" s="2"/>
      <c r="L102" s="2">
        <f t="shared" si="70"/>
        <v>0</v>
      </c>
      <c r="M102" s="2"/>
      <c r="N102" s="23">
        <f t="shared" si="71"/>
        <v>0</v>
      </c>
      <c r="O102" s="11"/>
      <c r="P102" s="2">
        <f>0</f>
        <v>0</v>
      </c>
      <c r="Q102" s="2"/>
      <c r="R102" s="23">
        <f t="shared" si="72"/>
        <v>0</v>
      </c>
      <c r="S102" s="2"/>
      <c r="T102" s="2">
        <v>200</v>
      </c>
      <c r="U102" s="2"/>
      <c r="V102" s="23">
        <f t="shared" si="73"/>
        <v>1.9234579157025332E-4</v>
      </c>
      <c r="W102" s="2"/>
      <c r="X102" s="2">
        <f t="shared" si="74"/>
        <v>-200</v>
      </c>
      <c r="Y102" s="2"/>
      <c r="Z102" s="23">
        <f t="shared" si="75"/>
        <v>-1</v>
      </c>
    </row>
    <row r="103" spans="1:26" s="24" customFormat="1" hidden="1" outlineLevel="1" x14ac:dyDescent="0.25">
      <c r="A103" s="51"/>
      <c r="B103" s="11" t="str">
        <f>CONCATENATE("          ", "9152", " - ", "MISC. INCOME")</f>
        <v xml:space="preserve">          9152 - MISC. INCOME</v>
      </c>
      <c r="C103" s="11"/>
      <c r="D103" s="2">
        <f>--72</f>
        <v>72</v>
      </c>
      <c r="E103" s="2"/>
      <c r="F103" s="23">
        <f t="shared" si="68"/>
        <v>8.8445380076454641E-5</v>
      </c>
      <c r="G103" s="2"/>
      <c r="H103" s="2"/>
      <c r="I103" s="2"/>
      <c r="J103" s="23">
        <f t="shared" si="69"/>
        <v>0</v>
      </c>
      <c r="K103" s="2"/>
      <c r="L103" s="2">
        <f t="shared" si="70"/>
        <v>72</v>
      </c>
      <c r="M103" s="2"/>
      <c r="N103" s="23">
        <f t="shared" si="71"/>
        <v>0</v>
      </c>
      <c r="O103" s="11"/>
      <c r="P103" s="2">
        <f>--1546.39</f>
        <v>1546.39</v>
      </c>
      <c r="Q103" s="2"/>
      <c r="R103" s="23">
        <f t="shared" si="72"/>
        <v>1.8090650514939941E-3</v>
      </c>
      <c r="S103" s="2"/>
      <c r="T103" s="2"/>
      <c r="U103" s="2"/>
      <c r="V103" s="23">
        <f t="shared" si="73"/>
        <v>0</v>
      </c>
      <c r="W103" s="2"/>
      <c r="X103" s="2">
        <f t="shared" si="74"/>
        <v>1546.39</v>
      </c>
      <c r="Y103" s="2"/>
      <c r="Z103" s="23">
        <f t="shared" si="75"/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2" customFormat="1" x14ac:dyDescent="0.25">
      <c r="A105" s="10"/>
      <c r="B105" s="26" t="s">
        <v>3</v>
      </c>
      <c r="C105" s="26"/>
      <c r="D105" s="21">
        <f>+D45-D47+D100</f>
        <v>186193.67999999988</v>
      </c>
      <c r="E105" s="13"/>
      <c r="F105" s="20">
        <f>IF(D$12=0,0,D105/D$12)</f>
        <v>0.22872181660324667</v>
      </c>
      <c r="G105" s="13"/>
      <c r="H105" s="21">
        <f>+H45-H47+H100</f>
        <v>202513.56145113858</v>
      </c>
      <c r="I105" s="13"/>
      <c r="J105" s="20">
        <f>IF(H$12=0,0,H105/H$12)</f>
        <v>0.20582926508235014</v>
      </c>
      <c r="K105" s="16"/>
      <c r="L105" s="21">
        <f>+D105-H105</f>
        <v>-16319.881451138703</v>
      </c>
      <c r="M105" s="16"/>
      <c r="N105" s="20">
        <f>IF(H105=0,0,L105/H105)</f>
        <v>-8.0586610270425171E-2</v>
      </c>
      <c r="O105" s="25"/>
      <c r="P105" s="21">
        <f>+P45-P47+P100</f>
        <v>162757.42000000001</v>
      </c>
      <c r="Q105" s="13"/>
      <c r="R105" s="20">
        <f>IF(P$12=0,0,P105/P$12)</f>
        <v>0.19040394751216033</v>
      </c>
      <c r="S105" s="13"/>
      <c r="T105" s="21">
        <f>+T45-T47+T100</f>
        <v>172519.16733381164</v>
      </c>
      <c r="U105" s="13"/>
      <c r="V105" s="20">
        <f>IF(T$12=0,0,T105/T$12)</f>
        <v>0.16591667900931495</v>
      </c>
      <c r="W105" s="16"/>
      <c r="X105" s="21">
        <f>+P105-T105</f>
        <v>-9761.7473338116251</v>
      </c>
      <c r="Y105" s="16"/>
      <c r="Z105" s="20">
        <f>IF(T105=0,0,X105/T105)</f>
        <v>-5.658355233609131E-2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2" customFormat="1" x14ac:dyDescent="0.25">
      <c r="A107" s="52"/>
      <c r="B107" s="10" t="s">
        <v>14</v>
      </c>
      <c r="C107" s="10"/>
      <c r="D107" s="4">
        <v>124358.11000000002</v>
      </c>
      <c r="E107" s="4"/>
      <c r="F107" s="12">
        <f>IF(D$12=0,0,D107/D$12)</f>
        <v>0.15276250422971607</v>
      </c>
      <c r="G107" s="4"/>
      <c r="H107" s="4">
        <v>142647</v>
      </c>
      <c r="I107" s="4"/>
      <c r="J107" s="12">
        <f>IF(H$12=0,0,H107/H$12)</f>
        <v>0.14498252347058768</v>
      </c>
      <c r="K107" s="4"/>
      <c r="L107" s="4">
        <f>+D107-H107</f>
        <v>-18288.889999999985</v>
      </c>
      <c r="M107" s="4"/>
      <c r="N107" s="12">
        <f>IF(H107=0,0,L107/H107)</f>
        <v>-0.12821082812817644</v>
      </c>
      <c r="O107" s="10"/>
      <c r="P107" s="4">
        <v>144321.72999999998</v>
      </c>
      <c r="Q107" s="4"/>
      <c r="R107" s="12">
        <f>IF(P$12=0,0,P107/P$12)</f>
        <v>0.16883670866608827</v>
      </c>
      <c r="S107" s="4"/>
      <c r="T107" s="4">
        <v>169802</v>
      </c>
      <c r="U107" s="4"/>
      <c r="V107" s="12">
        <f>IF(T$12=0,0,T107/T$12)</f>
        <v>0.16330350050106077</v>
      </c>
      <c r="W107" s="4"/>
      <c r="X107" s="4">
        <f>+P107-T107</f>
        <v>-25480.270000000019</v>
      </c>
      <c r="Y107" s="4"/>
      <c r="Z107" s="12">
        <f>IF(T107=0,0,X107/T107)</f>
        <v>-0.15005871544504787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2" customFormat="1" ht="15.75" thickBot="1" x14ac:dyDescent="0.3">
      <c r="A109" s="10"/>
      <c r="B109" s="26" t="s">
        <v>4</v>
      </c>
      <c r="C109" s="26"/>
      <c r="D109" s="33">
        <f>+D105-D107</f>
        <v>61835.569999999861</v>
      </c>
      <c r="E109" s="13"/>
      <c r="F109" s="31">
        <f>IF(D$12=0,0,D109/D$12)</f>
        <v>7.595931237353061E-2</v>
      </c>
      <c r="G109" s="13"/>
      <c r="H109" s="33">
        <f>+H105-H107</f>
        <v>59866.561451138579</v>
      </c>
      <c r="I109" s="13"/>
      <c r="J109" s="31">
        <f>IF(H$12=0,0,H109/H$12)</f>
        <v>6.0846741611762456E-2</v>
      </c>
      <c r="K109" s="16"/>
      <c r="L109" s="33">
        <f>D109-H109</f>
        <v>1969.0085488612822</v>
      </c>
      <c r="M109" s="16"/>
      <c r="N109" s="31">
        <f>IF(H109=0,0,L109/H109)</f>
        <v>3.288995561350775E-2</v>
      </c>
      <c r="O109" s="25"/>
      <c r="P109" s="33">
        <f>+P105-P107</f>
        <v>18435.690000000031</v>
      </c>
      <c r="Q109" s="13"/>
      <c r="R109" s="31">
        <f>IF(P$12=0,0,P109/P$12)</f>
        <v>2.1567238846072055E-2</v>
      </c>
      <c r="S109" s="13"/>
      <c r="T109" s="33">
        <f>+T105-T107</f>
        <v>2717.1673338116379</v>
      </c>
      <c r="U109" s="13"/>
      <c r="V109" s="31">
        <f>IF(T$12=0,0,T109/T$12)</f>
        <v>2.6131785082541712E-3</v>
      </c>
      <c r="W109" s="16"/>
      <c r="X109" s="33">
        <f>P109-T109</f>
        <v>15718.522666188393</v>
      </c>
      <c r="Y109" s="16"/>
      <c r="Z109" s="31">
        <f>IF(T109=0,0,X109/T109)</f>
        <v>5.7848931387447804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2" customFormat="1" ht="15.75" thickBot="1" x14ac:dyDescent="0.3">
      <c r="A112" s="10"/>
      <c r="B112" s="26" t="s">
        <v>5</v>
      </c>
      <c r="C112" s="26"/>
      <c r="D112" s="32">
        <f>SUM(D109:D111)</f>
        <v>61835.569999999861</v>
      </c>
      <c r="E112" s="13"/>
      <c r="F112" s="35">
        <f>IF(D$12=0,0,D112/D$12)</f>
        <v>7.595931237353061E-2</v>
      </c>
      <c r="G112" s="13"/>
      <c r="H112" s="32">
        <f>SUM(H109:H111)</f>
        <v>59866.561451138579</v>
      </c>
      <c r="I112" s="13"/>
      <c r="J112" s="35">
        <f>IF(H$12=0,0,H112/H$12)</f>
        <v>6.0846741611762456E-2</v>
      </c>
      <c r="K112" s="16"/>
      <c r="L112" s="32">
        <f>+D112-H112</f>
        <v>1969.0085488612822</v>
      </c>
      <c r="M112" s="16"/>
      <c r="N112" s="35">
        <f>IF(H112=0,0,L112/H112)</f>
        <v>3.288995561350775E-2</v>
      </c>
      <c r="O112" s="25"/>
      <c r="P112" s="32">
        <f>SUM(P109:P111)</f>
        <v>18435.690000000031</v>
      </c>
      <c r="Q112" s="13"/>
      <c r="R112" s="35">
        <f>IF(P$12=0,0,P112/P$12)</f>
        <v>2.1567238846072055E-2</v>
      </c>
      <c r="S112" s="13"/>
      <c r="T112" s="32">
        <f>SUM(T109:T111)</f>
        <v>2717.1673338116379</v>
      </c>
      <c r="U112" s="13"/>
      <c r="V112" s="35">
        <f>IF(T$12=0,0,T112/T$12)</f>
        <v>2.6131785082541712E-3</v>
      </c>
      <c r="W112" s="16"/>
      <c r="X112" s="32">
        <f>+P112-T112</f>
        <v>15718.522666188393</v>
      </c>
      <c r="Y112" s="16"/>
      <c r="Z112" s="35">
        <f>IF(T112=0,0,X112/T112)</f>
        <v>5.7848931387447804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59">
        <v>44113.689430902778</v>
      </c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A115" s="9"/>
      <c r="B115" s="62" t="s">
        <v>314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4" x14ac:dyDescent="0.25">
      <c r="A116" s="9"/>
      <c r="B116" s="63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","324", " - ", "Textbook Rental")</f>
        <v>Department 324 - Textbook Rental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412046.82</v>
      </c>
      <c r="E12" s="4"/>
      <c r="F12" s="12"/>
      <c r="G12" s="4"/>
      <c r="H12" s="4">
        <f>SUM(OSRRefH13x_0)</f>
        <v>560574</v>
      </c>
      <c r="I12" s="4"/>
      <c r="J12" s="12"/>
      <c r="K12" s="4"/>
      <c r="L12" s="4">
        <f t="shared" ref="L12:L16" si="0">+D12-H12</f>
        <v>-148527.18</v>
      </c>
      <c r="M12" s="4"/>
      <c r="N12" s="12">
        <f t="shared" ref="N12:N16" si="1">IF(H12=0,0,L12/H12)</f>
        <v>-0.26495552772693703</v>
      </c>
      <c r="O12" s="10"/>
      <c r="P12" s="4">
        <f>SUM(OSRRefP13x_0)</f>
        <v>419346.45999999996</v>
      </c>
      <c r="Q12" s="4"/>
      <c r="R12" s="12"/>
      <c r="S12" s="4"/>
      <c r="T12" s="4">
        <f>SUM(OSRRefT13x_0)</f>
        <v>573711</v>
      </c>
      <c r="U12" s="4"/>
      <c r="V12" s="12"/>
      <c r="W12" s="4"/>
      <c r="X12" s="4">
        <f t="shared" ref="X12:X16" si="2">+P12-T12</f>
        <v>-154364.54000000004</v>
      </c>
      <c r="Y12" s="4"/>
      <c r="Z12" s="12">
        <f t="shared" ref="Z12:Z16" si="3">IF(T12=0,0,X12/T12)</f>
        <v>-0.2690632391569972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3"/>
      <c r="G13" s="2"/>
      <c r="H13" s="2">
        <v>560574</v>
      </c>
      <c r="I13" s="2"/>
      <c r="J13" s="23"/>
      <c r="K13" s="2"/>
      <c r="L13" s="2">
        <f t="shared" si="0"/>
        <v>-560574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573711</v>
      </c>
      <c r="U13" s="2"/>
      <c r="V13" s="23"/>
      <c r="W13" s="2"/>
      <c r="X13" s="2">
        <f t="shared" si="2"/>
        <v>-573711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--145338.32</f>
        <v>145338.32</v>
      </c>
      <c r="E14" s="2"/>
      <c r="F14" s="23"/>
      <c r="G14" s="2"/>
      <c r="H14" s="2"/>
      <c r="I14" s="2"/>
      <c r="J14" s="23"/>
      <c r="K14" s="2"/>
      <c r="L14" s="2">
        <f t="shared" si="0"/>
        <v>145338.32</v>
      </c>
      <c r="M14" s="2"/>
      <c r="N14" s="23">
        <f t="shared" si="1"/>
        <v>0</v>
      </c>
      <c r="O14" s="11"/>
      <c r="P14" s="2">
        <f>--147251.27</f>
        <v>147251.26999999999</v>
      </c>
      <c r="Q14" s="2"/>
      <c r="R14" s="23"/>
      <c r="S14" s="2"/>
      <c r="T14" s="2"/>
      <c r="U14" s="2"/>
      <c r="V14" s="23"/>
      <c r="W14" s="2"/>
      <c r="X14" s="2">
        <f t="shared" si="2"/>
        <v>147251.26999999999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--116348.47</f>
        <v>116348.47</v>
      </c>
      <c r="E15" s="2"/>
      <c r="F15" s="23"/>
      <c r="G15" s="2"/>
      <c r="H15" s="2"/>
      <c r="I15" s="2"/>
      <c r="J15" s="23"/>
      <c r="K15" s="2"/>
      <c r="L15" s="2">
        <f t="shared" si="0"/>
        <v>116348.47</v>
      </c>
      <c r="M15" s="2"/>
      <c r="N15" s="23">
        <f t="shared" si="1"/>
        <v>0</v>
      </c>
      <c r="O15" s="11"/>
      <c r="P15" s="2">
        <f>--118696.86</f>
        <v>118696.86</v>
      </c>
      <c r="Q15" s="2"/>
      <c r="R15" s="23"/>
      <c r="S15" s="2"/>
      <c r="T15" s="2"/>
      <c r="U15" s="2"/>
      <c r="V15" s="23"/>
      <c r="W15" s="2"/>
      <c r="X15" s="2">
        <f t="shared" si="2"/>
        <v>118696.86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--150360.03</f>
        <v>150360.03</v>
      </c>
      <c r="E16" s="2"/>
      <c r="F16" s="23"/>
      <c r="G16" s="2"/>
      <c r="H16" s="2"/>
      <c r="I16" s="2"/>
      <c r="J16" s="23"/>
      <c r="K16" s="2"/>
      <c r="L16" s="2">
        <f t="shared" si="0"/>
        <v>150360.03</v>
      </c>
      <c r="M16" s="2"/>
      <c r="N16" s="23">
        <f t="shared" si="1"/>
        <v>0</v>
      </c>
      <c r="O16" s="11"/>
      <c r="P16" s="2">
        <f>--153398.33</f>
        <v>153398.32999999999</v>
      </c>
      <c r="Q16" s="2"/>
      <c r="R16" s="23"/>
      <c r="S16" s="2"/>
      <c r="T16" s="2"/>
      <c r="U16" s="2"/>
      <c r="V16" s="23"/>
      <c r="W16" s="2"/>
      <c r="X16" s="2">
        <f t="shared" si="2"/>
        <v>153398.32999999999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310994.06</v>
      </c>
      <c r="E18" s="4"/>
      <c r="F18" s="12">
        <f t="shared" ref="F18:F21" si="4">IF(D$12=0,0,D18/D$12)</f>
        <v>0.75475418060500987</v>
      </c>
      <c r="G18" s="4"/>
      <c r="H18" s="4">
        <f>SUM(OSRRefH16x_0)</f>
        <v>405841</v>
      </c>
      <c r="I18" s="4"/>
      <c r="J18" s="12">
        <f t="shared" ref="J18:J21" si="5">IF(H$12=0,0,H18/H$12)</f>
        <v>0.72397399808053886</v>
      </c>
      <c r="K18" s="4"/>
      <c r="L18" s="4">
        <f t="shared" ref="L18:L21" si="6">+D18-H18</f>
        <v>-94846.94</v>
      </c>
      <c r="M18" s="4"/>
      <c r="N18" s="12">
        <f t="shared" ref="N18:N21" si="7">IF(H18=0,0,L18/H18)</f>
        <v>-0.23370467744757184</v>
      </c>
      <c r="O18" s="10"/>
      <c r="P18" s="4">
        <f>SUM(OSRRefP16x_0)</f>
        <v>315723.33999999997</v>
      </c>
      <c r="Q18" s="4"/>
      <c r="R18" s="12">
        <f t="shared" ref="R18:R21" si="8">IF(P$12=0,0,P18/P$12)</f>
        <v>0.75289377666381163</v>
      </c>
      <c r="S18" s="4"/>
      <c r="T18" s="4">
        <f>SUM(OSRRefT16x_0)</f>
        <v>415365</v>
      </c>
      <c r="U18" s="4"/>
      <c r="V18" s="12">
        <f t="shared" ref="V18:V21" si="9">IF(T$12=0,0,T18/T$12)</f>
        <v>0.72399692528119564</v>
      </c>
      <c r="W18" s="4"/>
      <c r="X18" s="4">
        <f t="shared" ref="X18:X21" si="10">+P18-T18</f>
        <v>-99641.660000000033</v>
      </c>
      <c r="Y18" s="4"/>
      <c r="Z18" s="12">
        <f t="shared" ref="Z18:Z21" si="11">IF(T18=0,0,X18/T18)</f>
        <v>-0.23988939848085428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405841</v>
      </c>
      <c r="I19" s="2"/>
      <c r="J19" s="23">
        <f t="shared" si="5"/>
        <v>0.72397399808053886</v>
      </c>
      <c r="K19" s="2"/>
      <c r="L19" s="2">
        <f t="shared" si="6"/>
        <v>-405841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415365</v>
      </c>
      <c r="U19" s="2"/>
      <c r="V19" s="23">
        <f t="shared" si="9"/>
        <v>0.72399692528119564</v>
      </c>
      <c r="W19" s="2"/>
      <c r="X19" s="2">
        <f t="shared" si="10"/>
        <v>-415365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174735.64</v>
      </c>
      <c r="E20" s="2"/>
      <c r="F20" s="23">
        <f t="shared" si="4"/>
        <v>0.42406743971473926</v>
      </c>
      <c r="G20" s="2"/>
      <c r="H20" s="2"/>
      <c r="I20" s="2"/>
      <c r="J20" s="23">
        <f t="shared" si="5"/>
        <v>0</v>
      </c>
      <c r="K20" s="2"/>
      <c r="L20" s="2">
        <f t="shared" si="6"/>
        <v>174735.64</v>
      </c>
      <c r="M20" s="2"/>
      <c r="N20" s="23">
        <f t="shared" si="7"/>
        <v>0</v>
      </c>
      <c r="O20" s="11"/>
      <c r="P20" s="2">
        <v>176388.86</v>
      </c>
      <c r="Q20" s="2"/>
      <c r="R20" s="23">
        <f t="shared" si="8"/>
        <v>0.42062799337807694</v>
      </c>
      <c r="S20" s="2"/>
      <c r="T20" s="2"/>
      <c r="U20" s="2"/>
      <c r="V20" s="23">
        <f t="shared" si="9"/>
        <v>0</v>
      </c>
      <c r="W20" s="2"/>
      <c r="X20" s="2">
        <f t="shared" si="10"/>
        <v>176388.86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>
        <v>136258.41999999998</v>
      </c>
      <c r="E21" s="2"/>
      <c r="F21" s="23">
        <f t="shared" si="4"/>
        <v>0.33068674089027061</v>
      </c>
      <c r="G21" s="2"/>
      <c r="H21" s="2"/>
      <c r="I21" s="2"/>
      <c r="J21" s="23">
        <f t="shared" si="5"/>
        <v>0</v>
      </c>
      <c r="K21" s="2"/>
      <c r="L21" s="2">
        <f t="shared" si="6"/>
        <v>136258.41999999998</v>
      </c>
      <c r="M21" s="2"/>
      <c r="N21" s="23">
        <f t="shared" si="7"/>
        <v>0</v>
      </c>
      <c r="O21" s="11"/>
      <c r="P21" s="2">
        <v>139334.47999999998</v>
      </c>
      <c r="Q21" s="2"/>
      <c r="R21" s="23">
        <f t="shared" si="8"/>
        <v>0.33226578328573464</v>
      </c>
      <c r="S21" s="2"/>
      <c r="T21" s="2"/>
      <c r="U21" s="2"/>
      <c r="V21" s="23">
        <f t="shared" si="9"/>
        <v>0</v>
      </c>
      <c r="W21" s="2"/>
      <c r="X21" s="2">
        <f t="shared" si="10"/>
        <v>139334.47999999998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101052.76000000001</v>
      </c>
      <c r="E23" s="13"/>
      <c r="F23" s="20">
        <f>IF(D$12=0,0,D23/D$12)</f>
        <v>0.24524581939499013</v>
      </c>
      <c r="G23" s="13"/>
      <c r="H23" s="21">
        <f>H12-H18</f>
        <v>154733</v>
      </c>
      <c r="I23" s="13"/>
      <c r="J23" s="20">
        <f>IF(H$12=0,0,H23/H$12)</f>
        <v>0.27602600191946114</v>
      </c>
      <c r="K23" s="16"/>
      <c r="L23" s="21">
        <f>+D23-H23</f>
        <v>-53680.239999999991</v>
      </c>
      <c r="M23" s="16"/>
      <c r="N23" s="20">
        <f>IF(H23=0,0,L23/H23)</f>
        <v>-0.34692172968920648</v>
      </c>
      <c r="O23" s="25"/>
      <c r="P23" s="21">
        <f>P12-P18</f>
        <v>103623.12</v>
      </c>
      <c r="Q23" s="13"/>
      <c r="R23" s="20">
        <f>IF(P$12=0,0,P23/P$12)</f>
        <v>0.24710622333618842</v>
      </c>
      <c r="S23" s="13"/>
      <c r="T23" s="21">
        <f>T12-T18</f>
        <v>158346</v>
      </c>
      <c r="U23" s="13"/>
      <c r="V23" s="20">
        <f>IF(T$12=0,0,T23/T$12)</f>
        <v>0.27600307471880442</v>
      </c>
      <c r="W23" s="16"/>
      <c r="X23" s="21">
        <f>+P23-T23</f>
        <v>-54722.880000000005</v>
      </c>
      <c r="Y23" s="16"/>
      <c r="Z23" s="20">
        <f>IF(T23=0,0,X23/T23)</f>
        <v>-0.34559054223030583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0</v>
      </c>
      <c r="E25" s="19"/>
      <c r="F25" s="30">
        <f t="shared" ref="F25:F34" si="12">IF(D$12=0,0,D25/D$12)</f>
        <v>0</v>
      </c>
      <c r="G25" s="19"/>
      <c r="H25" s="19">
        <f>SUM(OSRRefH22x_0)</f>
        <v>0</v>
      </c>
      <c r="I25" s="19"/>
      <c r="J25" s="30">
        <f t="shared" ref="J25:J34" si="13">IF(H$12=0,0,H25/H$12)</f>
        <v>0</v>
      </c>
      <c r="K25" s="4"/>
      <c r="L25" s="19">
        <f t="shared" ref="L25:L34" si="14">+D25-H25</f>
        <v>0</v>
      </c>
      <c r="M25" s="4"/>
      <c r="N25" s="30">
        <f t="shared" ref="N25:N34" si="15">IF(H25=0,0,L25/H25)</f>
        <v>0</v>
      </c>
      <c r="O25" s="10"/>
      <c r="P25" s="19">
        <f>SUM(OSRRefP22x_0)</f>
        <v>0</v>
      </c>
      <c r="Q25" s="19"/>
      <c r="R25" s="30">
        <f t="shared" ref="R25:R34" si="16">IF(P$12=0,0,P25/P$12)</f>
        <v>0</v>
      </c>
      <c r="S25" s="19"/>
      <c r="T25" s="19">
        <f>SUM(OSRRefT22x_0)</f>
        <v>0</v>
      </c>
      <c r="U25" s="19"/>
      <c r="V25" s="30">
        <f t="shared" ref="V25:V34" si="17">IF(T$12=0,0,T25/T$12)</f>
        <v>0</v>
      </c>
      <c r="W25" s="4"/>
      <c r="X25" s="19">
        <f t="shared" ref="X25:X34" si="18">+P25-T25</f>
        <v>0</v>
      </c>
      <c r="Y25" s="4"/>
      <c r="Z25" s="30">
        <f t="shared" ref="Z25:Z34" si="19">IF(T25=0,0,X25/T25)</f>
        <v>0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9" customFormat="1" outlineLevel="1" collapsed="1" x14ac:dyDescent="0.25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61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2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2" customFormat="1" x14ac:dyDescent="0.25">
      <c r="A49" s="10"/>
      <c r="B49" s="26" t="s">
        <v>3</v>
      </c>
      <c r="C49" s="26"/>
      <c r="D49" s="21">
        <f>+D23-D25+D47</f>
        <v>101052.76000000001</v>
      </c>
      <c r="E49" s="13"/>
      <c r="F49" s="20">
        <f>IF(D$12=0,0,D49/D$12)</f>
        <v>0.24524581939499013</v>
      </c>
      <c r="G49" s="13"/>
      <c r="H49" s="21">
        <f>+H23-H25+H47</f>
        <v>154733</v>
      </c>
      <c r="I49" s="13"/>
      <c r="J49" s="20">
        <f>IF(H$12=0,0,H49/H$12)</f>
        <v>0.27602600191946114</v>
      </c>
      <c r="K49" s="16"/>
      <c r="L49" s="21">
        <f>+D49-H49</f>
        <v>-53680.239999999991</v>
      </c>
      <c r="M49" s="16"/>
      <c r="N49" s="20">
        <f>IF(H49=0,0,L49/H49)</f>
        <v>-0.34692172968920648</v>
      </c>
      <c r="O49" s="25"/>
      <c r="P49" s="21">
        <f>+P23-P25+P47</f>
        <v>103623.12</v>
      </c>
      <c r="Q49" s="13"/>
      <c r="R49" s="20">
        <f>IF(P$12=0,0,P49/P$12)</f>
        <v>0.24710622333618842</v>
      </c>
      <c r="S49" s="13"/>
      <c r="T49" s="21">
        <f>+T23-T25+T47</f>
        <v>158346</v>
      </c>
      <c r="U49" s="13"/>
      <c r="V49" s="20">
        <f>IF(T$12=0,0,T49/T$12)</f>
        <v>0.27600307471880442</v>
      </c>
      <c r="W49" s="16"/>
      <c r="X49" s="21">
        <f>+P49-T49</f>
        <v>-54722.880000000005</v>
      </c>
      <c r="Y49" s="16"/>
      <c r="Z49" s="20">
        <f>IF(T49=0,0,X49/T49)</f>
        <v>-0.34559054223030583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2" customFormat="1" x14ac:dyDescent="0.25">
      <c r="A51" s="52"/>
      <c r="B51" s="10" t="s">
        <v>14</v>
      </c>
      <c r="C51" s="10"/>
      <c r="D51" s="4">
        <v>67290.34</v>
      </c>
      <c r="E51" s="4"/>
      <c r="F51" s="12">
        <f>IF(D$12=0,0,D51/D$12)</f>
        <v>0.16330750956893683</v>
      </c>
      <c r="G51" s="4"/>
      <c r="H51" s="4">
        <v>87308</v>
      </c>
      <c r="I51" s="4"/>
      <c r="J51" s="12">
        <f>IF(H$12=0,0,H51/H$12)</f>
        <v>0.15574750166793322</v>
      </c>
      <c r="K51" s="4"/>
      <c r="L51" s="4">
        <f>+D51-H51</f>
        <v>-20017.660000000003</v>
      </c>
      <c r="M51" s="4"/>
      <c r="N51" s="12">
        <f>IF(H51=0,0,L51/H51)</f>
        <v>-0.22927635497319837</v>
      </c>
      <c r="O51" s="10"/>
      <c r="P51" s="4">
        <v>70801.08</v>
      </c>
      <c r="Q51" s="4"/>
      <c r="R51" s="12">
        <f>IF(P$12=0,0,P51/P$12)</f>
        <v>0.16883671797300973</v>
      </c>
      <c r="S51" s="4"/>
      <c r="T51" s="4">
        <v>93689</v>
      </c>
      <c r="U51" s="4"/>
      <c r="V51" s="12">
        <f>IF(T$12=0,0,T51/T$12)</f>
        <v>0.16330347509460338</v>
      </c>
      <c r="W51" s="4"/>
      <c r="X51" s="4">
        <f>+P51-T51</f>
        <v>-22887.919999999998</v>
      </c>
      <c r="Y51" s="4"/>
      <c r="Z51" s="12">
        <f>IF(T51=0,0,X51/T51)</f>
        <v>-0.2442967690977596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2" customFormat="1" ht="15.75" thickBot="1" x14ac:dyDescent="0.3">
      <c r="A53" s="10"/>
      <c r="B53" s="26" t="s">
        <v>4</v>
      </c>
      <c r="C53" s="26"/>
      <c r="D53" s="33">
        <f>+D49-D51</f>
        <v>33762.420000000013</v>
      </c>
      <c r="E53" s="13"/>
      <c r="F53" s="31">
        <f>IF(D$12=0,0,D53/D$12)</f>
        <v>8.1938309826053296E-2</v>
      </c>
      <c r="G53" s="13"/>
      <c r="H53" s="33">
        <f>+H49-H51</f>
        <v>67425</v>
      </c>
      <c r="I53" s="13"/>
      <c r="J53" s="31">
        <f>IF(H$12=0,0,H53/H$12)</f>
        <v>0.12027850025152789</v>
      </c>
      <c r="K53" s="16"/>
      <c r="L53" s="33">
        <f>D53-H53</f>
        <v>-33662.579999999987</v>
      </c>
      <c r="M53" s="16"/>
      <c r="N53" s="31">
        <f>IF(H53=0,0,L53/H53)</f>
        <v>-0.49925962180200201</v>
      </c>
      <c r="O53" s="25"/>
      <c r="P53" s="33">
        <f>+P49-P51</f>
        <v>32822.039999999994</v>
      </c>
      <c r="Q53" s="13"/>
      <c r="R53" s="31">
        <f>IF(P$12=0,0,P53/P$12)</f>
        <v>7.8269505363178685E-2</v>
      </c>
      <c r="S53" s="13"/>
      <c r="T53" s="33">
        <f>+T49-T51</f>
        <v>64657</v>
      </c>
      <c r="U53" s="13"/>
      <c r="V53" s="31">
        <f>IF(T$12=0,0,T53/T$12)</f>
        <v>0.11269959962420104</v>
      </c>
      <c r="W53" s="16"/>
      <c r="X53" s="33">
        <f>P53-T53</f>
        <v>-31834.960000000006</v>
      </c>
      <c r="Y53" s="16"/>
      <c r="Z53" s="31">
        <f>IF(T53=0,0,X53/T53)</f>
        <v>-0.49236679709853542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2" customFormat="1" ht="15.75" thickBot="1" x14ac:dyDescent="0.3">
      <c r="A56" s="10"/>
      <c r="B56" s="26" t="s">
        <v>5</v>
      </c>
      <c r="C56" s="26"/>
      <c r="D56" s="32">
        <f>SUM(D53:D55)</f>
        <v>33762.420000000013</v>
      </c>
      <c r="E56" s="13"/>
      <c r="F56" s="35">
        <f>IF(D$12=0,0,D56/D$12)</f>
        <v>8.1938309826053296E-2</v>
      </c>
      <c r="G56" s="13"/>
      <c r="H56" s="32">
        <f>SUM(H53:H55)</f>
        <v>67425</v>
      </c>
      <c r="I56" s="13"/>
      <c r="J56" s="35">
        <f>IF(H$12=0,0,H56/H$12)</f>
        <v>0.12027850025152789</v>
      </c>
      <c r="K56" s="16"/>
      <c r="L56" s="32">
        <f>+D56-H56</f>
        <v>-33662.579999999987</v>
      </c>
      <c r="M56" s="16"/>
      <c r="N56" s="35">
        <f>IF(H56=0,0,L56/H56)</f>
        <v>-0.49925962180200201</v>
      </c>
      <c r="O56" s="25"/>
      <c r="P56" s="32">
        <f>SUM(P53:P55)</f>
        <v>32822.039999999994</v>
      </c>
      <c r="Q56" s="13"/>
      <c r="R56" s="35">
        <f>IF(P$12=0,0,P56/P$12)</f>
        <v>7.8269505363178685E-2</v>
      </c>
      <c r="S56" s="13"/>
      <c r="T56" s="32">
        <f>SUM(T53:T55)</f>
        <v>64657</v>
      </c>
      <c r="U56" s="13"/>
      <c r="V56" s="35">
        <f>IF(T$12=0,0,T56/T$12)</f>
        <v>0.11269959962420104</v>
      </c>
      <c r="W56" s="16"/>
      <c r="X56" s="32">
        <f>+P56-T56</f>
        <v>-31834.960000000006</v>
      </c>
      <c r="Y56" s="16"/>
      <c r="Z56" s="35">
        <f>IF(T56=0,0,X56/T56)</f>
        <v>-0.49236679709853542</v>
      </c>
    </row>
    <row r="57" spans="1:26" ht="15.75" thickTop="1" x14ac:dyDescent="0.25">
      <c r="A57" s="9"/>
      <c r="C57" s="9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A58" s="9"/>
      <c r="B58" s="59">
        <v>44113.68967083333</v>
      </c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  <row r="59" spans="1:26" x14ac:dyDescent="0.25">
      <c r="A59" s="9"/>
      <c r="B59" s="62" t="s">
        <v>314</v>
      </c>
      <c r="D59" s="18"/>
      <c r="E59" s="18"/>
      <c r="G59" s="18"/>
      <c r="H59" s="18"/>
      <c r="I59" s="18"/>
      <c r="J59" s="43"/>
      <c r="K59" s="18"/>
      <c r="L59" s="18"/>
      <c r="M59" s="18"/>
      <c r="P59" s="18"/>
      <c r="Q59" s="18"/>
      <c r="R59" s="43"/>
      <c r="S59" s="18"/>
      <c r="T59" s="18"/>
      <c r="U59" s="18"/>
      <c r="V59" s="43"/>
      <c r="W59" s="18"/>
      <c r="X59" s="18"/>
    </row>
    <row r="60" spans="1:26" x14ac:dyDescent="0.25">
      <c r="A60" s="9"/>
      <c r="B60" s="63"/>
      <c r="D60" s="18"/>
      <c r="E60" s="18"/>
      <c r="G60" s="18"/>
      <c r="H60" s="18"/>
      <c r="I60" s="18"/>
      <c r="J60" s="43"/>
      <c r="K60" s="18"/>
      <c r="L60" s="18"/>
      <c r="M60" s="18"/>
      <c r="P60" s="18"/>
      <c r="Q60" s="18"/>
      <c r="R60" s="43"/>
      <c r="S60" s="18"/>
      <c r="T60" s="18"/>
      <c r="U60" s="18"/>
      <c r="V60" s="43"/>
      <c r="W60" s="18"/>
      <c r="X60" s="18"/>
    </row>
    <row r="61" spans="1:26" x14ac:dyDescent="0.25">
      <c r="D61" s="18"/>
      <c r="E61" s="18"/>
      <c r="G61" s="18"/>
      <c r="H61" s="18"/>
      <c r="I61" s="18"/>
      <c r="J61" s="43"/>
      <c r="K61" s="18"/>
      <c r="L61" s="18"/>
      <c r="M61" s="18"/>
      <c r="P61" s="18"/>
      <c r="Q61" s="18"/>
      <c r="R61" s="43"/>
      <c r="S61" s="18"/>
      <c r="T61" s="18"/>
      <c r="U61" s="18"/>
      <c r="V61" s="43"/>
      <c r="W61" s="18"/>
      <c r="X61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304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311058.33999999991</v>
      </c>
      <c r="E12" s="4"/>
      <c r="F12" s="12"/>
      <c r="G12" s="4"/>
      <c r="H12" s="4">
        <f>SUM(OSRRefH13x_0)</f>
        <v>375284</v>
      </c>
      <c r="I12" s="4"/>
      <c r="J12" s="12"/>
      <c r="K12" s="4"/>
      <c r="L12" s="4">
        <f t="shared" ref="L12:L48" si="0">+D12-H12</f>
        <v>-64225.660000000091</v>
      </c>
      <c r="M12" s="4"/>
      <c r="N12" s="12">
        <f t="shared" ref="N12:N48" si="1">IF(H12=0,0,L12/H12)</f>
        <v>-0.17113881753552002</v>
      </c>
      <c r="O12" s="10"/>
      <c r="P12" s="4">
        <f>SUM(OSRRefP13x_0)</f>
        <v>485839.16000000003</v>
      </c>
      <c r="Q12" s="4"/>
      <c r="R12" s="12"/>
      <c r="S12" s="4"/>
      <c r="T12" s="4">
        <f>SUM(OSRRefT13x_0)</f>
        <v>605235</v>
      </c>
      <c r="U12" s="4"/>
      <c r="V12" s="12"/>
      <c r="W12" s="4"/>
      <c r="X12" s="4">
        <f t="shared" ref="X12:X48" si="2">+P12-T12</f>
        <v>-119395.83999999997</v>
      </c>
      <c r="Y12" s="4"/>
      <c r="Z12" s="12">
        <f t="shared" ref="Z12:Z48" si="3">IF(T12=0,0,X12/T12)</f>
        <v>-0.19727186960436849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-12895.37</f>
        <v>-12895.37</v>
      </c>
      <c r="E13" s="2"/>
      <c r="F13" s="23"/>
      <c r="G13" s="2"/>
      <c r="H13" s="2">
        <v>375284</v>
      </c>
      <c r="I13" s="2"/>
      <c r="J13" s="23"/>
      <c r="K13" s="2"/>
      <c r="L13" s="2">
        <f t="shared" si="0"/>
        <v>-388179.37</v>
      </c>
      <c r="M13" s="2"/>
      <c r="N13" s="23">
        <f t="shared" si="1"/>
        <v>-1.0343616301254517</v>
      </c>
      <c r="O13" s="11"/>
      <c r="P13" s="2">
        <f>-22848.76</f>
        <v>-22848.76</v>
      </c>
      <c r="Q13" s="2"/>
      <c r="R13" s="23"/>
      <c r="S13" s="2"/>
      <c r="T13" s="2">
        <v>605235</v>
      </c>
      <c r="U13" s="2"/>
      <c r="V13" s="23"/>
      <c r="W13" s="2"/>
      <c r="X13" s="2">
        <f t="shared" si="2"/>
        <v>-628083.76</v>
      </c>
      <c r="Y13" s="2"/>
      <c r="Z13" s="23">
        <f t="shared" si="3"/>
        <v>-1.0377518815005742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3"/>
      <c r="G14" s="2"/>
      <c r="H14" s="2"/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>--236.56</f>
        <v>236.56</v>
      </c>
      <c r="Q14" s="2"/>
      <c r="R14" s="23"/>
      <c r="S14" s="2"/>
      <c r="T14" s="2"/>
      <c r="U14" s="2"/>
      <c r="V14" s="23"/>
      <c r="W14" s="2"/>
      <c r="X14" s="2">
        <f t="shared" si="2"/>
        <v>236.56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--16859.02</f>
        <v>16859.02</v>
      </c>
      <c r="E15" s="2"/>
      <c r="F15" s="23"/>
      <c r="G15" s="2"/>
      <c r="H15" s="2"/>
      <c r="I15" s="2"/>
      <c r="J15" s="23"/>
      <c r="K15" s="2"/>
      <c r="L15" s="2">
        <f t="shared" si="0"/>
        <v>16859.02</v>
      </c>
      <c r="M15" s="2"/>
      <c r="N15" s="23">
        <f t="shared" si="1"/>
        <v>0</v>
      </c>
      <c r="O15" s="11"/>
      <c r="P15" s="2">
        <f>--18512.19</f>
        <v>18512.189999999999</v>
      </c>
      <c r="Q15" s="2"/>
      <c r="R15" s="23"/>
      <c r="S15" s="2"/>
      <c r="T15" s="2"/>
      <c r="U15" s="2"/>
      <c r="V15" s="23"/>
      <c r="W15" s="2"/>
      <c r="X15" s="2">
        <f t="shared" si="2"/>
        <v>18512.189999999999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23"/>
      <c r="G16" s="2"/>
      <c r="H16" s="2"/>
      <c r="I16" s="2"/>
      <c r="J16" s="23"/>
      <c r="K16" s="2"/>
      <c r="L16" s="2">
        <f t="shared" si="0"/>
        <v>0</v>
      </c>
      <c r="M16" s="2"/>
      <c r="N16" s="23">
        <f t="shared" si="1"/>
        <v>0</v>
      </c>
      <c r="O16" s="11"/>
      <c r="P16" s="2">
        <f>--19.85</f>
        <v>19.850000000000001</v>
      </c>
      <c r="Q16" s="2"/>
      <c r="R16" s="23"/>
      <c r="S16" s="2"/>
      <c r="T16" s="2"/>
      <c r="U16" s="2"/>
      <c r="V16" s="23"/>
      <c r="W16" s="2"/>
      <c r="X16" s="2">
        <f t="shared" si="2"/>
        <v>19.850000000000001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--407.47</f>
        <v>407.47</v>
      </c>
      <c r="E17" s="2"/>
      <c r="F17" s="23"/>
      <c r="G17" s="2"/>
      <c r="H17" s="2"/>
      <c r="I17" s="2"/>
      <c r="J17" s="23"/>
      <c r="K17" s="2"/>
      <c r="L17" s="2">
        <f t="shared" si="0"/>
        <v>407.47</v>
      </c>
      <c r="M17" s="2"/>
      <c r="N17" s="23">
        <f t="shared" si="1"/>
        <v>0</v>
      </c>
      <c r="O17" s="11"/>
      <c r="P17" s="2">
        <f>--427.22</f>
        <v>427.22</v>
      </c>
      <c r="Q17" s="2"/>
      <c r="R17" s="23"/>
      <c r="S17" s="2"/>
      <c r="T17" s="2"/>
      <c r="U17" s="2"/>
      <c r="V17" s="23"/>
      <c r="W17" s="2"/>
      <c r="X17" s="2">
        <f t="shared" si="2"/>
        <v>427.22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3"/>
      <c r="G18" s="2"/>
      <c r="H18" s="2"/>
      <c r="I18" s="2"/>
      <c r="J18" s="23"/>
      <c r="K18" s="2"/>
      <c r="L18" s="2">
        <f t="shared" si="0"/>
        <v>0</v>
      </c>
      <c r="M18" s="2"/>
      <c r="N18" s="23">
        <f t="shared" si="1"/>
        <v>0</v>
      </c>
      <c r="O18" s="11"/>
      <c r="P18" s="2">
        <f>--6.78</f>
        <v>6.78</v>
      </c>
      <c r="Q18" s="2"/>
      <c r="R18" s="23"/>
      <c r="S18" s="2"/>
      <c r="T18" s="2"/>
      <c r="U18" s="2"/>
      <c r="V18" s="23"/>
      <c r="W18" s="2"/>
      <c r="X18" s="2">
        <f t="shared" si="2"/>
        <v>6.78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--177286.09</f>
        <v>177286.09</v>
      </c>
      <c r="E19" s="2"/>
      <c r="F19" s="23"/>
      <c r="G19" s="2"/>
      <c r="H19" s="2"/>
      <c r="I19" s="2"/>
      <c r="J19" s="23"/>
      <c r="K19" s="2"/>
      <c r="L19" s="2">
        <f t="shared" si="0"/>
        <v>177286.09</v>
      </c>
      <c r="M19" s="2"/>
      <c r="N19" s="23">
        <f t="shared" si="1"/>
        <v>0</v>
      </c>
      <c r="O19" s="11"/>
      <c r="P19" s="2">
        <f>--249578.35</f>
        <v>249578.35</v>
      </c>
      <c r="Q19" s="2"/>
      <c r="R19" s="23"/>
      <c r="S19" s="2"/>
      <c r="T19" s="2"/>
      <c r="U19" s="2"/>
      <c r="V19" s="23"/>
      <c r="W19" s="2"/>
      <c r="X19" s="2">
        <f t="shared" si="2"/>
        <v>249578.35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--39770.2</f>
        <v>39770.199999999997</v>
      </c>
      <c r="E20" s="2"/>
      <c r="F20" s="23"/>
      <c r="G20" s="2"/>
      <c r="H20" s="2"/>
      <c r="I20" s="2"/>
      <c r="J20" s="23"/>
      <c r="K20" s="2"/>
      <c r="L20" s="2">
        <f t="shared" si="0"/>
        <v>39770.199999999997</v>
      </c>
      <c r="M20" s="2"/>
      <c r="N20" s="23">
        <f t="shared" si="1"/>
        <v>0</v>
      </c>
      <c r="O20" s="11"/>
      <c r="P20" s="2">
        <f>--59873.51</f>
        <v>59873.51</v>
      </c>
      <c r="Q20" s="2"/>
      <c r="R20" s="23"/>
      <c r="S20" s="2"/>
      <c r="T20" s="2"/>
      <c r="U20" s="2"/>
      <c r="V20" s="23"/>
      <c r="W20" s="2"/>
      <c r="X20" s="2">
        <f t="shared" si="2"/>
        <v>59873.51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--25214.79</f>
        <v>25214.79</v>
      </c>
      <c r="E21" s="2"/>
      <c r="F21" s="23"/>
      <c r="G21" s="2"/>
      <c r="H21" s="2"/>
      <c r="I21" s="2"/>
      <c r="J21" s="23"/>
      <c r="K21" s="2"/>
      <c r="L21" s="2">
        <f t="shared" si="0"/>
        <v>25214.79</v>
      </c>
      <c r="M21" s="2"/>
      <c r="N21" s="23">
        <f t="shared" si="1"/>
        <v>0</v>
      </c>
      <c r="O21" s="11"/>
      <c r="P21" s="2">
        <f>--30968.17</f>
        <v>30968.17</v>
      </c>
      <c r="Q21" s="2"/>
      <c r="R21" s="23"/>
      <c r="S21" s="2"/>
      <c r="T21" s="2"/>
      <c r="U21" s="2"/>
      <c r="V21" s="23"/>
      <c r="W21" s="2"/>
      <c r="X21" s="2">
        <f t="shared" si="2"/>
        <v>30968.17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--6763.28</f>
        <v>6763.28</v>
      </c>
      <c r="E22" s="2"/>
      <c r="F22" s="23"/>
      <c r="G22" s="2"/>
      <c r="H22" s="2"/>
      <c r="I22" s="2"/>
      <c r="J22" s="23"/>
      <c r="K22" s="2"/>
      <c r="L22" s="2">
        <f t="shared" si="0"/>
        <v>6763.28</v>
      </c>
      <c r="M22" s="2"/>
      <c r="N22" s="23">
        <f t="shared" si="1"/>
        <v>0</v>
      </c>
      <c r="O22" s="11"/>
      <c r="P22" s="2">
        <f>--6980.64</f>
        <v>6980.64</v>
      </c>
      <c r="Q22" s="2"/>
      <c r="R22" s="23"/>
      <c r="S22" s="2"/>
      <c r="T22" s="2"/>
      <c r="U22" s="2"/>
      <c r="V22" s="23"/>
      <c r="W22" s="2"/>
      <c r="X22" s="2">
        <f t="shared" si="2"/>
        <v>6980.64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--6568.52</f>
        <v>6568.52</v>
      </c>
      <c r="E23" s="2"/>
      <c r="F23" s="23"/>
      <c r="G23" s="2"/>
      <c r="H23" s="2"/>
      <c r="I23" s="2"/>
      <c r="J23" s="23"/>
      <c r="K23" s="2"/>
      <c r="L23" s="2">
        <f t="shared" si="0"/>
        <v>6568.52</v>
      </c>
      <c r="M23" s="2"/>
      <c r="N23" s="23">
        <f t="shared" si="1"/>
        <v>0</v>
      </c>
      <c r="O23" s="11"/>
      <c r="P23" s="2">
        <f>--8369.2</f>
        <v>8369.2000000000007</v>
      </c>
      <c r="Q23" s="2"/>
      <c r="R23" s="23"/>
      <c r="S23" s="2"/>
      <c r="T23" s="2"/>
      <c r="U23" s="2"/>
      <c r="V23" s="23"/>
      <c r="W23" s="2"/>
      <c r="X23" s="2">
        <f t="shared" si="2"/>
        <v>8369.2000000000007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--46004.35</f>
        <v>46004.35</v>
      </c>
      <c r="E24" s="2"/>
      <c r="F24" s="23"/>
      <c r="G24" s="2"/>
      <c r="H24" s="2"/>
      <c r="I24" s="2"/>
      <c r="J24" s="23"/>
      <c r="K24" s="2"/>
      <c r="L24" s="2">
        <f t="shared" si="0"/>
        <v>46004.35</v>
      </c>
      <c r="M24" s="2"/>
      <c r="N24" s="23">
        <f t="shared" si="1"/>
        <v>0</v>
      </c>
      <c r="O24" s="11"/>
      <c r="P24" s="2">
        <f>--89431.08</f>
        <v>89431.08</v>
      </c>
      <c r="Q24" s="2"/>
      <c r="R24" s="23"/>
      <c r="S24" s="2"/>
      <c r="T24" s="2"/>
      <c r="U24" s="2"/>
      <c r="V24" s="23"/>
      <c r="W24" s="2"/>
      <c r="X24" s="2">
        <f t="shared" si="2"/>
        <v>89431.08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3"/>
      <c r="G25" s="2"/>
      <c r="H25" s="2"/>
      <c r="I25" s="2"/>
      <c r="J25" s="23"/>
      <c r="K25" s="2"/>
      <c r="L25" s="2">
        <f t="shared" si="0"/>
        <v>0</v>
      </c>
      <c r="M25" s="2"/>
      <c r="N25" s="23">
        <f t="shared" si="1"/>
        <v>0</v>
      </c>
      <c r="O25" s="11"/>
      <c r="P25" s="2">
        <f>--52.68</f>
        <v>52.68</v>
      </c>
      <c r="Q25" s="2"/>
      <c r="R25" s="23"/>
      <c r="S25" s="2"/>
      <c r="T25" s="2"/>
      <c r="U25" s="2"/>
      <c r="V25" s="23"/>
      <c r="W25" s="2"/>
      <c r="X25" s="2">
        <f t="shared" si="2"/>
        <v>52.68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--1788.16</f>
        <v>1788.16</v>
      </c>
      <c r="E26" s="2"/>
      <c r="F26" s="23"/>
      <c r="G26" s="2"/>
      <c r="H26" s="2"/>
      <c r="I26" s="2"/>
      <c r="J26" s="23"/>
      <c r="K26" s="2"/>
      <c r="L26" s="2">
        <f t="shared" si="0"/>
        <v>1788.16</v>
      </c>
      <c r="M26" s="2"/>
      <c r="N26" s="23">
        <f t="shared" si="1"/>
        <v>0</v>
      </c>
      <c r="O26" s="11"/>
      <c r="P26" s="2">
        <f>--1860.41</f>
        <v>1860.41</v>
      </c>
      <c r="Q26" s="2"/>
      <c r="R26" s="23"/>
      <c r="S26" s="2"/>
      <c r="T26" s="2"/>
      <c r="U26" s="2"/>
      <c r="V26" s="23"/>
      <c r="W26" s="2"/>
      <c r="X26" s="2">
        <f t="shared" si="2"/>
        <v>1860.41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--988.65</f>
        <v>988.65</v>
      </c>
      <c r="E27" s="2"/>
      <c r="F27" s="23"/>
      <c r="G27" s="2"/>
      <c r="H27" s="2"/>
      <c r="I27" s="2"/>
      <c r="J27" s="23"/>
      <c r="K27" s="2"/>
      <c r="L27" s="2">
        <f t="shared" si="0"/>
        <v>988.65</v>
      </c>
      <c r="M27" s="2"/>
      <c r="N27" s="23">
        <f t="shared" si="1"/>
        <v>0</v>
      </c>
      <c r="O27" s="11"/>
      <c r="P27" s="2">
        <f>--1248.08</f>
        <v>1248.08</v>
      </c>
      <c r="Q27" s="2"/>
      <c r="R27" s="23"/>
      <c r="S27" s="2"/>
      <c r="T27" s="2"/>
      <c r="U27" s="2"/>
      <c r="V27" s="23"/>
      <c r="W27" s="2"/>
      <c r="X27" s="2">
        <f t="shared" si="2"/>
        <v>1248.08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>0</f>
        <v>0</v>
      </c>
      <c r="E28" s="2"/>
      <c r="F28" s="23"/>
      <c r="G28" s="2"/>
      <c r="H28" s="2"/>
      <c r="I28" s="2"/>
      <c r="J28" s="23"/>
      <c r="K28" s="2"/>
      <c r="L28" s="2">
        <f t="shared" si="0"/>
        <v>0</v>
      </c>
      <c r="M28" s="2"/>
      <c r="N28" s="23">
        <f t="shared" si="1"/>
        <v>0</v>
      </c>
      <c r="O28" s="11"/>
      <c r="P28" s="2">
        <f>--22.49</f>
        <v>22.49</v>
      </c>
      <c r="Q28" s="2"/>
      <c r="R28" s="23"/>
      <c r="S28" s="2"/>
      <c r="T28" s="2"/>
      <c r="U28" s="2"/>
      <c r="V28" s="23"/>
      <c r="W28" s="2"/>
      <c r="X28" s="2">
        <f t="shared" si="2"/>
        <v>22.49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>--12.43</f>
        <v>12.43</v>
      </c>
      <c r="E29" s="2"/>
      <c r="F29" s="23"/>
      <c r="G29" s="2"/>
      <c r="H29" s="2"/>
      <c r="I29" s="2"/>
      <c r="J29" s="23"/>
      <c r="K29" s="2"/>
      <c r="L29" s="2">
        <f t="shared" si="0"/>
        <v>12.43</v>
      </c>
      <c r="M29" s="2"/>
      <c r="N29" s="23">
        <f t="shared" si="1"/>
        <v>0</v>
      </c>
      <c r="O29" s="11"/>
      <c r="P29" s="2">
        <f>--80.71</f>
        <v>80.709999999999994</v>
      </c>
      <c r="Q29" s="2"/>
      <c r="R29" s="23"/>
      <c r="S29" s="2"/>
      <c r="T29" s="2"/>
      <c r="U29" s="2"/>
      <c r="V29" s="23"/>
      <c r="W29" s="2"/>
      <c r="X29" s="2">
        <f t="shared" si="2"/>
        <v>80.709999999999994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ref="D30:D31" si="4">0</f>
        <v>0</v>
      </c>
      <c r="E30" s="2"/>
      <c r="F30" s="23"/>
      <c r="G30" s="2"/>
      <c r="H30" s="2"/>
      <c r="I30" s="2"/>
      <c r="J30" s="23"/>
      <c r="K30" s="2"/>
      <c r="L30" s="2">
        <f t="shared" si="0"/>
        <v>0</v>
      </c>
      <c r="M30" s="2"/>
      <c r="N30" s="23">
        <f t="shared" si="1"/>
        <v>0</v>
      </c>
      <c r="O30" s="11"/>
      <c r="P30" s="2">
        <f>--45.53</f>
        <v>45.53</v>
      </c>
      <c r="Q30" s="2"/>
      <c r="R30" s="23"/>
      <c r="S30" s="2"/>
      <c r="T30" s="2"/>
      <c r="U30" s="2"/>
      <c r="V30" s="23"/>
      <c r="W30" s="2"/>
      <c r="X30" s="2">
        <f t="shared" si="2"/>
        <v>45.53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3"/>
      <c r="G31" s="2"/>
      <c r="H31" s="2"/>
      <c r="I31" s="2"/>
      <c r="J31" s="23"/>
      <c r="K31" s="2"/>
      <c r="L31" s="2">
        <f t="shared" si="0"/>
        <v>0</v>
      </c>
      <c r="M31" s="2"/>
      <c r="N31" s="23">
        <f t="shared" si="1"/>
        <v>0</v>
      </c>
      <c r="O31" s="11"/>
      <c r="P31" s="2">
        <f>--68.25</f>
        <v>68.25</v>
      </c>
      <c r="Q31" s="2"/>
      <c r="R31" s="23"/>
      <c r="S31" s="2"/>
      <c r="T31" s="2"/>
      <c r="U31" s="2"/>
      <c r="V31" s="23"/>
      <c r="W31" s="2"/>
      <c r="X31" s="2">
        <f t="shared" si="2"/>
        <v>68.25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--7266.5</f>
        <v>7266.5</v>
      </c>
      <c r="E32" s="2"/>
      <c r="F32" s="23"/>
      <c r="G32" s="2"/>
      <c r="H32" s="2"/>
      <c r="I32" s="2"/>
      <c r="J32" s="23"/>
      <c r="K32" s="2"/>
      <c r="L32" s="2">
        <f t="shared" si="0"/>
        <v>7266.5</v>
      </c>
      <c r="M32" s="2"/>
      <c r="N32" s="23">
        <f t="shared" si="1"/>
        <v>0</v>
      </c>
      <c r="O32" s="11"/>
      <c r="P32" s="2">
        <f>--14112.74</f>
        <v>14112.74</v>
      </c>
      <c r="Q32" s="2"/>
      <c r="R32" s="23"/>
      <c r="S32" s="2"/>
      <c r="T32" s="2"/>
      <c r="U32" s="2"/>
      <c r="V32" s="23"/>
      <c r="W32" s="2"/>
      <c r="X32" s="2">
        <f t="shared" si="2"/>
        <v>14112.74</v>
      </c>
      <c r="Y32" s="2"/>
      <c r="Z32" s="23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--742.31</f>
        <v>742.31</v>
      </c>
      <c r="E33" s="2"/>
      <c r="F33" s="23"/>
      <c r="G33" s="2"/>
      <c r="H33" s="2"/>
      <c r="I33" s="2"/>
      <c r="J33" s="23"/>
      <c r="K33" s="2"/>
      <c r="L33" s="2">
        <f t="shared" si="0"/>
        <v>742.31</v>
      </c>
      <c r="M33" s="2"/>
      <c r="N33" s="23">
        <f t="shared" si="1"/>
        <v>0</v>
      </c>
      <c r="O33" s="11"/>
      <c r="P33" s="2">
        <f>--1931.75</f>
        <v>1931.75</v>
      </c>
      <c r="Q33" s="2"/>
      <c r="R33" s="23"/>
      <c r="S33" s="2"/>
      <c r="T33" s="2"/>
      <c r="U33" s="2"/>
      <c r="V33" s="23"/>
      <c r="W33" s="2"/>
      <c r="X33" s="2">
        <f t="shared" si="2"/>
        <v>1931.75</v>
      </c>
      <c r="Y33" s="2"/>
      <c r="Z33" s="23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--333.42</f>
        <v>333.42</v>
      </c>
      <c r="E34" s="2"/>
      <c r="F34" s="23"/>
      <c r="G34" s="2"/>
      <c r="H34" s="2"/>
      <c r="I34" s="2"/>
      <c r="J34" s="23"/>
      <c r="K34" s="2"/>
      <c r="L34" s="2">
        <f t="shared" si="0"/>
        <v>333.42</v>
      </c>
      <c r="M34" s="2"/>
      <c r="N34" s="23">
        <f t="shared" si="1"/>
        <v>0</v>
      </c>
      <c r="O34" s="11"/>
      <c r="P34" s="2">
        <f>--973.59</f>
        <v>973.59</v>
      </c>
      <c r="Q34" s="2"/>
      <c r="R34" s="23"/>
      <c r="S34" s="2"/>
      <c r="T34" s="2"/>
      <c r="U34" s="2"/>
      <c r="V34" s="23"/>
      <c r="W34" s="2"/>
      <c r="X34" s="2">
        <f t="shared" si="2"/>
        <v>973.59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--19.98</f>
        <v>19.98</v>
      </c>
      <c r="E35" s="2"/>
      <c r="F35" s="23"/>
      <c r="G35" s="2"/>
      <c r="H35" s="2"/>
      <c r="I35" s="2"/>
      <c r="J35" s="23"/>
      <c r="K35" s="2"/>
      <c r="L35" s="2">
        <f t="shared" si="0"/>
        <v>19.98</v>
      </c>
      <c r="M35" s="2"/>
      <c r="N35" s="23">
        <f t="shared" si="1"/>
        <v>0</v>
      </c>
      <c r="O35" s="11"/>
      <c r="P35" s="2">
        <f>--19.98</f>
        <v>19.98</v>
      </c>
      <c r="Q35" s="2"/>
      <c r="R35" s="23"/>
      <c r="S35" s="2"/>
      <c r="T35" s="2"/>
      <c r="U35" s="2"/>
      <c r="V35" s="23"/>
      <c r="W35" s="2"/>
      <c r="X35" s="2">
        <f t="shared" si="2"/>
        <v>19.98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--107.95</f>
        <v>107.95</v>
      </c>
      <c r="E36" s="2"/>
      <c r="F36" s="23"/>
      <c r="G36" s="2"/>
      <c r="H36" s="2"/>
      <c r="I36" s="2"/>
      <c r="J36" s="23"/>
      <c r="K36" s="2"/>
      <c r="L36" s="2">
        <f t="shared" si="0"/>
        <v>107.95</v>
      </c>
      <c r="M36" s="2"/>
      <c r="N36" s="23">
        <f t="shared" si="1"/>
        <v>0</v>
      </c>
      <c r="O36" s="11"/>
      <c r="P36" s="2">
        <f>--155.8</f>
        <v>155.80000000000001</v>
      </c>
      <c r="Q36" s="2"/>
      <c r="R36" s="23"/>
      <c r="S36" s="2"/>
      <c r="T36" s="2"/>
      <c r="U36" s="2"/>
      <c r="V36" s="23"/>
      <c r="W36" s="2"/>
      <c r="X36" s="2">
        <f t="shared" si="2"/>
        <v>155.80000000000001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>--350</f>
        <v>350</v>
      </c>
      <c r="E37" s="2"/>
      <c r="F37" s="23"/>
      <c r="G37" s="2"/>
      <c r="H37" s="2"/>
      <c r="I37" s="2"/>
      <c r="J37" s="23"/>
      <c r="K37" s="2"/>
      <c r="L37" s="2">
        <f t="shared" si="0"/>
        <v>350</v>
      </c>
      <c r="M37" s="2"/>
      <c r="N37" s="23">
        <f t="shared" si="1"/>
        <v>0</v>
      </c>
      <c r="O37" s="11"/>
      <c r="P37" s="2">
        <f>--35846</f>
        <v>35846</v>
      </c>
      <c r="Q37" s="2"/>
      <c r="R37" s="23"/>
      <c r="S37" s="2"/>
      <c r="T37" s="2"/>
      <c r="U37" s="2"/>
      <c r="V37" s="23"/>
      <c r="W37" s="2"/>
      <c r="X37" s="2">
        <f t="shared" si="2"/>
        <v>35846</v>
      </c>
      <c r="Y37" s="2"/>
      <c r="Z37" s="23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0</f>
        <v>0</v>
      </c>
      <c r="E38" s="2"/>
      <c r="F38" s="23"/>
      <c r="G38" s="2"/>
      <c r="H38" s="2"/>
      <c r="I38" s="2"/>
      <c r="J38" s="23"/>
      <c r="K38" s="2"/>
      <c r="L38" s="2">
        <f t="shared" si="0"/>
        <v>0</v>
      </c>
      <c r="M38" s="2"/>
      <c r="N38" s="23">
        <f t="shared" si="1"/>
        <v>0</v>
      </c>
      <c r="O38" s="11"/>
      <c r="P38" s="2">
        <f>-6.38</f>
        <v>-6.38</v>
      </c>
      <c r="Q38" s="2"/>
      <c r="R38" s="23"/>
      <c r="S38" s="2"/>
      <c r="T38" s="2"/>
      <c r="U38" s="2"/>
      <c r="V38" s="23"/>
      <c r="W38" s="2"/>
      <c r="X38" s="2">
        <f t="shared" si="2"/>
        <v>-6.38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-219.22</f>
        <v>-219.22</v>
      </c>
      <c r="E39" s="2"/>
      <c r="F39" s="23"/>
      <c r="G39" s="2"/>
      <c r="H39" s="2"/>
      <c r="I39" s="2"/>
      <c r="J39" s="23"/>
      <c r="K39" s="2"/>
      <c r="L39" s="2">
        <f t="shared" si="0"/>
        <v>-219.22</v>
      </c>
      <c r="M39" s="2"/>
      <c r="N39" s="23">
        <f t="shared" si="1"/>
        <v>0</v>
      </c>
      <c r="O39" s="11"/>
      <c r="P39" s="2">
        <f>-275.99</f>
        <v>-275.99</v>
      </c>
      <c r="Q39" s="2"/>
      <c r="R39" s="23"/>
      <c r="S39" s="2"/>
      <c r="T39" s="2"/>
      <c r="U39" s="2"/>
      <c r="V39" s="23"/>
      <c r="W39" s="2"/>
      <c r="X39" s="2">
        <f t="shared" si="2"/>
        <v>-275.99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-4788.72</f>
        <v>-4788.72</v>
      </c>
      <c r="E40" s="2"/>
      <c r="F40" s="23"/>
      <c r="G40" s="2"/>
      <c r="H40" s="2"/>
      <c r="I40" s="2"/>
      <c r="J40" s="23"/>
      <c r="K40" s="2"/>
      <c r="L40" s="2">
        <f t="shared" si="0"/>
        <v>-4788.72</v>
      </c>
      <c r="M40" s="2"/>
      <c r="N40" s="23">
        <f t="shared" si="1"/>
        <v>0</v>
      </c>
      <c r="O40" s="11"/>
      <c r="P40" s="2">
        <f>-8156.82</f>
        <v>-8156.82</v>
      </c>
      <c r="Q40" s="2"/>
      <c r="R40" s="23"/>
      <c r="S40" s="2"/>
      <c r="T40" s="2"/>
      <c r="U40" s="2"/>
      <c r="V40" s="23"/>
      <c r="W40" s="2"/>
      <c r="X40" s="2">
        <f t="shared" si="2"/>
        <v>-8156.82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-464.76</f>
        <v>-464.76</v>
      </c>
      <c r="E41" s="2"/>
      <c r="F41" s="23"/>
      <c r="G41" s="2"/>
      <c r="H41" s="2"/>
      <c r="I41" s="2"/>
      <c r="J41" s="23"/>
      <c r="K41" s="2"/>
      <c r="L41" s="2">
        <f t="shared" si="0"/>
        <v>-464.76</v>
      </c>
      <c r="M41" s="2"/>
      <c r="N41" s="23">
        <f t="shared" si="1"/>
        <v>0</v>
      </c>
      <c r="O41" s="11"/>
      <c r="P41" s="2">
        <f>-806.74</f>
        <v>-806.74</v>
      </c>
      <c r="Q41" s="2"/>
      <c r="R41" s="23"/>
      <c r="S41" s="2"/>
      <c r="T41" s="2"/>
      <c r="U41" s="2"/>
      <c r="V41" s="23"/>
      <c r="W41" s="2"/>
      <c r="X41" s="2">
        <f t="shared" si="2"/>
        <v>-806.74</v>
      </c>
      <c r="Y41" s="2"/>
      <c r="Z41" s="23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-470.53</f>
        <v>-470.53</v>
      </c>
      <c r="E42" s="2"/>
      <c r="F42" s="23"/>
      <c r="G42" s="2"/>
      <c r="H42" s="2"/>
      <c r="I42" s="2"/>
      <c r="J42" s="23"/>
      <c r="K42" s="2"/>
      <c r="L42" s="2">
        <f t="shared" si="0"/>
        <v>-470.53</v>
      </c>
      <c r="M42" s="2"/>
      <c r="N42" s="23">
        <f t="shared" si="1"/>
        <v>0</v>
      </c>
      <c r="O42" s="11"/>
      <c r="P42" s="2">
        <f>-649.49</f>
        <v>-649.49</v>
      </c>
      <c r="Q42" s="2"/>
      <c r="R42" s="23"/>
      <c r="S42" s="2"/>
      <c r="T42" s="2"/>
      <c r="U42" s="2"/>
      <c r="V42" s="23"/>
      <c r="W42" s="2"/>
      <c r="X42" s="2">
        <f t="shared" si="2"/>
        <v>-649.49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-93.43</f>
        <v>-93.43</v>
      </c>
      <c r="E43" s="2"/>
      <c r="F43" s="23"/>
      <c r="G43" s="2"/>
      <c r="H43" s="2"/>
      <c r="I43" s="2"/>
      <c r="J43" s="23"/>
      <c r="K43" s="2"/>
      <c r="L43" s="2">
        <f t="shared" si="0"/>
        <v>-93.43</v>
      </c>
      <c r="M43" s="2"/>
      <c r="N43" s="23">
        <f t="shared" si="1"/>
        <v>0</v>
      </c>
      <c r="O43" s="11"/>
      <c r="P43" s="2">
        <f>-93.43</f>
        <v>-93.43</v>
      </c>
      <c r="Q43" s="2"/>
      <c r="R43" s="23"/>
      <c r="S43" s="2"/>
      <c r="T43" s="2"/>
      <c r="U43" s="2"/>
      <c r="V43" s="23"/>
      <c r="W43" s="2"/>
      <c r="X43" s="2">
        <f t="shared" si="2"/>
        <v>-93.43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-350.99</f>
        <v>-350.99</v>
      </c>
      <c r="E44" s="2"/>
      <c r="F44" s="23"/>
      <c r="G44" s="2"/>
      <c r="H44" s="2"/>
      <c r="I44" s="2"/>
      <c r="J44" s="23"/>
      <c r="K44" s="2"/>
      <c r="L44" s="2">
        <f t="shared" si="0"/>
        <v>-350.99</v>
      </c>
      <c r="M44" s="2"/>
      <c r="N44" s="23">
        <f t="shared" si="1"/>
        <v>0</v>
      </c>
      <c r="O44" s="11"/>
      <c r="P44" s="2">
        <f>-350.99</f>
        <v>-350.99</v>
      </c>
      <c r="Q44" s="2"/>
      <c r="R44" s="23"/>
      <c r="S44" s="2"/>
      <c r="T44" s="2"/>
      <c r="U44" s="2"/>
      <c r="V44" s="23"/>
      <c r="W44" s="2"/>
      <c r="X44" s="2">
        <f t="shared" si="2"/>
        <v>-350.99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-57.96</f>
        <v>-57.96</v>
      </c>
      <c r="E45" s="2"/>
      <c r="F45" s="23"/>
      <c r="G45" s="2"/>
      <c r="H45" s="2"/>
      <c r="I45" s="2"/>
      <c r="J45" s="23"/>
      <c r="K45" s="2"/>
      <c r="L45" s="2">
        <f t="shared" si="0"/>
        <v>-57.96</v>
      </c>
      <c r="M45" s="2"/>
      <c r="N45" s="23">
        <f t="shared" si="1"/>
        <v>0</v>
      </c>
      <c r="O45" s="11"/>
      <c r="P45" s="2">
        <f>-1178.96</f>
        <v>-1178.96</v>
      </c>
      <c r="Q45" s="2"/>
      <c r="R45" s="23"/>
      <c r="S45" s="2"/>
      <c r="T45" s="2"/>
      <c r="U45" s="2"/>
      <c r="V45" s="23"/>
      <c r="W45" s="2"/>
      <c r="X45" s="2">
        <f t="shared" si="2"/>
        <v>-1178.96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-69.9</f>
        <v>-69.900000000000006</v>
      </c>
      <c r="E46" s="2"/>
      <c r="F46" s="23"/>
      <c r="G46" s="2"/>
      <c r="H46" s="2"/>
      <c r="I46" s="2"/>
      <c r="J46" s="23"/>
      <c r="K46" s="2"/>
      <c r="L46" s="2">
        <f t="shared" si="0"/>
        <v>-69.900000000000006</v>
      </c>
      <c r="M46" s="2"/>
      <c r="N46" s="23">
        <f t="shared" si="1"/>
        <v>0</v>
      </c>
      <c r="O46" s="11"/>
      <c r="P46" s="2">
        <f>-504.14</f>
        <v>-504.14</v>
      </c>
      <c r="Q46" s="2"/>
      <c r="R46" s="23"/>
      <c r="S46" s="2"/>
      <c r="T46" s="2"/>
      <c r="U46" s="2"/>
      <c r="V46" s="23"/>
      <c r="W46" s="2"/>
      <c r="X46" s="2">
        <f t="shared" si="2"/>
        <v>-504.14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0</f>
        <v>0</v>
      </c>
      <c r="E47" s="2"/>
      <c r="F47" s="23"/>
      <c r="G47" s="2"/>
      <c r="H47" s="2"/>
      <c r="I47" s="2"/>
      <c r="J47" s="23"/>
      <c r="K47" s="2"/>
      <c r="L47" s="2">
        <f t="shared" si="0"/>
        <v>0</v>
      </c>
      <c r="M47" s="2"/>
      <c r="N47" s="23">
        <f t="shared" si="1"/>
        <v>0</v>
      </c>
      <c r="O47" s="11"/>
      <c r="P47" s="2">
        <f>-16.95</f>
        <v>-16.95</v>
      </c>
      <c r="Q47" s="2"/>
      <c r="R47" s="23"/>
      <c r="S47" s="2"/>
      <c r="T47" s="2"/>
      <c r="U47" s="2"/>
      <c r="V47" s="23"/>
      <c r="W47" s="2"/>
      <c r="X47" s="2">
        <f t="shared" si="2"/>
        <v>-16.95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-13.9</f>
        <v>-13.9</v>
      </c>
      <c r="E48" s="2"/>
      <c r="F48" s="23"/>
      <c r="G48" s="2"/>
      <c r="H48" s="2"/>
      <c r="I48" s="2"/>
      <c r="J48" s="23"/>
      <c r="K48" s="2"/>
      <c r="L48" s="2">
        <f t="shared" si="0"/>
        <v>-13.9</v>
      </c>
      <c r="M48" s="2"/>
      <c r="N48" s="23">
        <f t="shared" si="1"/>
        <v>0</v>
      </c>
      <c r="O48" s="11"/>
      <c r="P48" s="2">
        <f>-93.75</f>
        <v>-93.75</v>
      </c>
      <c r="Q48" s="2"/>
      <c r="R48" s="23"/>
      <c r="S48" s="2"/>
      <c r="T48" s="2"/>
      <c r="U48" s="2"/>
      <c r="V48" s="23"/>
      <c r="W48" s="2"/>
      <c r="X48" s="2">
        <f t="shared" si="2"/>
        <v>-93.75</v>
      </c>
      <c r="Y48" s="2"/>
      <c r="Z48" s="23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2" customFormat="1" collapsed="1" x14ac:dyDescent="0.25">
      <c r="A50" s="10"/>
      <c r="B50" s="25" t="s">
        <v>8</v>
      </c>
      <c r="C50" s="10"/>
      <c r="D50" s="4">
        <f>SUM(OSRRefD16x_0)</f>
        <v>180056</v>
      </c>
      <c r="E50" s="4"/>
      <c r="F50" s="12">
        <f t="shared" ref="F50:F63" si="5">IF(D$12=0,0,D50/D$12)</f>
        <v>0.57884961386986133</v>
      </c>
      <c r="G50" s="4"/>
      <c r="H50" s="4">
        <f>SUM(OSRRefH16x_0)</f>
        <v>171423</v>
      </c>
      <c r="I50" s="4"/>
      <c r="J50" s="12">
        <f t="shared" ref="J50:J63" si="6">IF(H$12=0,0,H50/H$12)</f>
        <v>0.45678206371707825</v>
      </c>
      <c r="K50" s="4"/>
      <c r="L50" s="4">
        <f t="shared" ref="L50:L63" si="7">+D50-H50</f>
        <v>8633</v>
      </c>
      <c r="M50" s="4"/>
      <c r="N50" s="12">
        <f t="shared" ref="N50:N63" si="8">IF(H50=0,0,L50/H50)</f>
        <v>5.0360803392776932E-2</v>
      </c>
      <c r="O50" s="10"/>
      <c r="P50" s="4">
        <f>SUM(OSRRefP16x_0)</f>
        <v>290595.94000000006</v>
      </c>
      <c r="Q50" s="4"/>
      <c r="R50" s="12">
        <f t="shared" ref="R50:R63" si="9">IF(P$12=0,0,P50/P$12)</f>
        <v>0.59813198260922407</v>
      </c>
      <c r="S50" s="4"/>
      <c r="T50" s="4">
        <f>SUM(OSRRefT16x_0)</f>
        <v>276186</v>
      </c>
      <c r="U50" s="4"/>
      <c r="V50" s="12">
        <f t="shared" ref="V50:V63" si="10">IF(T$12=0,0,T50/T$12)</f>
        <v>0.45632853354482145</v>
      </c>
      <c r="W50" s="4"/>
      <c r="X50" s="4">
        <f t="shared" ref="X50:X63" si="11">+P50-T50</f>
        <v>14409.940000000061</v>
      </c>
      <c r="Y50" s="4"/>
      <c r="Z50" s="12">
        <f t="shared" ref="Z50:Z63" si="12">IF(T50=0,0,X50/T50)</f>
        <v>5.217476628069511E-2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3">
        <f t="shared" si="5"/>
        <v>0</v>
      </c>
      <c r="G51" s="2"/>
      <c r="H51" s="2">
        <v>171423</v>
      </c>
      <c r="I51" s="2"/>
      <c r="J51" s="23">
        <f t="shared" si="6"/>
        <v>0.45678206371707825</v>
      </c>
      <c r="K51" s="2"/>
      <c r="L51" s="2">
        <f t="shared" si="7"/>
        <v>-171423</v>
      </c>
      <c r="M51" s="2"/>
      <c r="N51" s="23">
        <f t="shared" si="8"/>
        <v>-1</v>
      </c>
      <c r="O51" s="11"/>
      <c r="P51" s="2"/>
      <c r="Q51" s="2"/>
      <c r="R51" s="23">
        <f t="shared" si="9"/>
        <v>0</v>
      </c>
      <c r="S51" s="2"/>
      <c r="T51" s="2">
        <v>276186</v>
      </c>
      <c r="U51" s="2"/>
      <c r="V51" s="23">
        <f t="shared" si="10"/>
        <v>0.45632853354482145</v>
      </c>
      <c r="W51" s="2"/>
      <c r="X51" s="2">
        <f t="shared" si="11"/>
        <v>-276186</v>
      </c>
      <c r="Y51" s="2"/>
      <c r="Z51" s="23">
        <f t="shared" si="12"/>
        <v>-1</v>
      </c>
    </row>
    <row r="52" spans="1:26" s="24" customFormat="1" hidden="1" outlineLevel="1" x14ac:dyDescent="0.25">
      <c r="A52" s="51"/>
      <c r="B52" s="11" t="str">
        <f>CONCATENATE("          ", "5027", " - ", "PURCHASES @ COST-SCHOOL SUPPLI")</f>
        <v xml:space="preserve">          5027 - PURCHASES @ COST-SCHOOL SUPPLI</v>
      </c>
      <c r="C52" s="11"/>
      <c r="D52" s="2"/>
      <c r="E52" s="2"/>
      <c r="F52" s="23">
        <f t="shared" si="5"/>
        <v>0</v>
      </c>
      <c r="G52" s="2"/>
      <c r="H52" s="2"/>
      <c r="I52" s="2"/>
      <c r="J52" s="23">
        <f t="shared" si="6"/>
        <v>0</v>
      </c>
      <c r="K52" s="2"/>
      <c r="L52" s="2">
        <f t="shared" si="7"/>
        <v>0</v>
      </c>
      <c r="M52" s="2"/>
      <c r="N52" s="23">
        <f t="shared" si="8"/>
        <v>0</v>
      </c>
      <c r="O52" s="11"/>
      <c r="P52" s="2">
        <v>8503.4</v>
      </c>
      <c r="Q52" s="2"/>
      <c r="R52" s="23">
        <f t="shared" si="9"/>
        <v>1.7502500210151851E-2</v>
      </c>
      <c r="S52" s="2"/>
      <c r="T52" s="2"/>
      <c r="U52" s="2"/>
      <c r="V52" s="23">
        <f t="shared" si="10"/>
        <v>0</v>
      </c>
      <c r="W52" s="2"/>
      <c r="X52" s="2">
        <f t="shared" si="11"/>
        <v>8503.4</v>
      </c>
      <c r="Y52" s="2"/>
      <c r="Z52" s="23">
        <f t="shared" si="12"/>
        <v>0</v>
      </c>
    </row>
    <row r="53" spans="1:26" s="24" customFormat="1" hidden="1" outlineLevel="1" x14ac:dyDescent="0.25">
      <c r="A53" s="51"/>
      <c r="B53" s="11" t="str">
        <f>CONCATENATE("          ", "5040", " - ", "PURCHASES @ COST-LOGO CLOTHING")</f>
        <v xml:space="preserve">          5040 - PURCHASES @ COST-LOGO CLOTHING</v>
      </c>
      <c r="C53" s="11"/>
      <c r="D53" s="2">
        <v>7628.83</v>
      </c>
      <c r="E53" s="2"/>
      <c r="F53" s="23">
        <f t="shared" si="5"/>
        <v>2.4525399318983062E-2</v>
      </c>
      <c r="G53" s="2"/>
      <c r="H53" s="2"/>
      <c r="I53" s="2"/>
      <c r="J53" s="23">
        <f t="shared" si="6"/>
        <v>0</v>
      </c>
      <c r="K53" s="2"/>
      <c r="L53" s="2">
        <f t="shared" si="7"/>
        <v>7628.83</v>
      </c>
      <c r="M53" s="2"/>
      <c r="N53" s="23">
        <f t="shared" si="8"/>
        <v>0</v>
      </c>
      <c r="O53" s="11"/>
      <c r="P53" s="2">
        <v>9351.9</v>
      </c>
      <c r="Q53" s="2"/>
      <c r="R53" s="23">
        <f t="shared" si="9"/>
        <v>1.92489629695556E-2</v>
      </c>
      <c r="S53" s="2"/>
      <c r="T53" s="2"/>
      <c r="U53" s="2"/>
      <c r="V53" s="23">
        <f t="shared" si="10"/>
        <v>0</v>
      </c>
      <c r="W53" s="2"/>
      <c r="X53" s="2">
        <f t="shared" si="11"/>
        <v>9351.9</v>
      </c>
      <c r="Y53" s="2"/>
      <c r="Z53" s="23">
        <f t="shared" si="12"/>
        <v>0</v>
      </c>
    </row>
    <row r="54" spans="1:26" s="24" customFormat="1" hidden="1" outlineLevel="1" x14ac:dyDescent="0.25">
      <c r="A54" s="51"/>
      <c r="B54" s="11" t="str">
        <f>CONCATENATE("          ", "5041", " - ", "PURCHASES @ COST-LOGO GIFTS")</f>
        <v xml:space="preserve">          5041 - PURCHASES @ COST-LOGO GIFTS</v>
      </c>
      <c r="C54" s="11"/>
      <c r="D54" s="2">
        <v>1843.29</v>
      </c>
      <c r="E54" s="2"/>
      <c r="F54" s="23">
        <f t="shared" si="5"/>
        <v>5.9258658681197894E-3</v>
      </c>
      <c r="G54" s="2"/>
      <c r="H54" s="2"/>
      <c r="I54" s="2"/>
      <c r="J54" s="23">
        <f t="shared" si="6"/>
        <v>0</v>
      </c>
      <c r="K54" s="2"/>
      <c r="L54" s="2">
        <f t="shared" si="7"/>
        <v>1843.29</v>
      </c>
      <c r="M54" s="2"/>
      <c r="N54" s="23">
        <f t="shared" si="8"/>
        <v>0</v>
      </c>
      <c r="O54" s="11"/>
      <c r="P54" s="2">
        <v>1129.54</v>
      </c>
      <c r="Q54" s="2"/>
      <c r="R54" s="23">
        <f t="shared" si="9"/>
        <v>2.3249258046634195E-3</v>
      </c>
      <c r="S54" s="2"/>
      <c r="T54" s="2"/>
      <c r="U54" s="2"/>
      <c r="V54" s="23">
        <f t="shared" si="10"/>
        <v>0</v>
      </c>
      <c r="W54" s="2"/>
      <c r="X54" s="2">
        <f t="shared" si="11"/>
        <v>1129.54</v>
      </c>
      <c r="Y54" s="2"/>
      <c r="Z54" s="23">
        <f t="shared" si="12"/>
        <v>0</v>
      </c>
    </row>
    <row r="55" spans="1:26" s="24" customFormat="1" hidden="1" outlineLevel="1" x14ac:dyDescent="0.25">
      <c r="A55" s="51"/>
      <c r="B55" s="11" t="str">
        <f>CONCATENATE("          ", "5042", " - ", "PURCHASES @ COST-EVERYDAY GIFT")</f>
        <v xml:space="preserve">          5042 - PURCHASES @ COST-EVERYDAY GIFT</v>
      </c>
      <c r="C55" s="11"/>
      <c r="D55" s="2">
        <v>732.99</v>
      </c>
      <c r="E55" s="2"/>
      <c r="F55" s="23">
        <f t="shared" si="5"/>
        <v>2.3564389882618168E-3</v>
      </c>
      <c r="G55" s="2"/>
      <c r="H55" s="2"/>
      <c r="I55" s="2"/>
      <c r="J55" s="23">
        <f t="shared" si="6"/>
        <v>0</v>
      </c>
      <c r="K55" s="2"/>
      <c r="L55" s="2">
        <f t="shared" si="7"/>
        <v>732.99</v>
      </c>
      <c r="M55" s="2"/>
      <c r="N55" s="23">
        <f t="shared" si="8"/>
        <v>0</v>
      </c>
      <c r="O55" s="11"/>
      <c r="P55" s="2">
        <v>969.15</v>
      </c>
      <c r="Q55" s="2"/>
      <c r="R55" s="23">
        <f t="shared" si="9"/>
        <v>1.9947959732187909E-3</v>
      </c>
      <c r="S55" s="2"/>
      <c r="T55" s="2"/>
      <c r="U55" s="2"/>
      <c r="V55" s="23">
        <f t="shared" si="10"/>
        <v>0</v>
      </c>
      <c r="W55" s="2"/>
      <c r="X55" s="2">
        <f t="shared" si="11"/>
        <v>969.15</v>
      </c>
      <c r="Y55" s="2"/>
      <c r="Z55" s="23">
        <f t="shared" si="12"/>
        <v>0</v>
      </c>
    </row>
    <row r="56" spans="1:26" s="24" customFormat="1" hidden="1" outlineLevel="1" x14ac:dyDescent="0.25">
      <c r="A56" s="51"/>
      <c r="B56" s="11" t="str">
        <f>CONCATENATE("          ", "5043", " - ", "PURCHASES @ COST-CARDS")</f>
        <v xml:space="preserve">          5043 - PURCHASES @ COST-CARDS</v>
      </c>
      <c r="C56" s="11"/>
      <c r="D56" s="2">
        <v>1406.55</v>
      </c>
      <c r="E56" s="2"/>
      <c r="F56" s="23">
        <f t="shared" si="5"/>
        <v>4.5218205690932458E-3</v>
      </c>
      <c r="G56" s="2"/>
      <c r="H56" s="2"/>
      <c r="I56" s="2"/>
      <c r="J56" s="23">
        <f t="shared" si="6"/>
        <v>0</v>
      </c>
      <c r="K56" s="2"/>
      <c r="L56" s="2">
        <f t="shared" si="7"/>
        <v>1406.55</v>
      </c>
      <c r="M56" s="2"/>
      <c r="N56" s="23">
        <f t="shared" si="8"/>
        <v>0</v>
      </c>
      <c r="O56" s="11"/>
      <c r="P56" s="2">
        <v>1715.25</v>
      </c>
      <c r="Q56" s="2"/>
      <c r="R56" s="23">
        <f t="shared" si="9"/>
        <v>3.5304893907687472E-3</v>
      </c>
      <c r="S56" s="2"/>
      <c r="T56" s="2"/>
      <c r="U56" s="2"/>
      <c r="V56" s="23">
        <f t="shared" si="10"/>
        <v>0</v>
      </c>
      <c r="W56" s="2"/>
      <c r="X56" s="2">
        <f t="shared" si="11"/>
        <v>1715.25</v>
      </c>
      <c r="Y56" s="2"/>
      <c r="Z56" s="23">
        <f t="shared" si="12"/>
        <v>0</v>
      </c>
    </row>
    <row r="57" spans="1:26" s="24" customFormat="1" hidden="1" outlineLevel="1" x14ac:dyDescent="0.25">
      <c r="A57" s="51"/>
      <c r="B57" s="11" t="str">
        <f>CONCATENATE("          ", "5045", " - ", "PURCHASES @ COST-SPECIAL ORDER")</f>
        <v xml:space="preserve">          5045 - PURCHASES @ COST-SPECIAL ORDER</v>
      </c>
      <c r="C57" s="11"/>
      <c r="D57" s="2">
        <v>5633.96</v>
      </c>
      <c r="E57" s="2"/>
      <c r="F57" s="23">
        <f t="shared" si="5"/>
        <v>1.8112229365076667E-2</v>
      </c>
      <c r="G57" s="2"/>
      <c r="H57" s="2"/>
      <c r="I57" s="2"/>
      <c r="J57" s="23">
        <f t="shared" si="6"/>
        <v>0</v>
      </c>
      <c r="K57" s="2"/>
      <c r="L57" s="2">
        <f t="shared" si="7"/>
        <v>5633.96</v>
      </c>
      <c r="M57" s="2"/>
      <c r="N57" s="23">
        <f t="shared" si="8"/>
        <v>0</v>
      </c>
      <c r="O57" s="11"/>
      <c r="P57" s="2">
        <v>8390.17</v>
      </c>
      <c r="Q57" s="2"/>
      <c r="R57" s="23">
        <f t="shared" si="9"/>
        <v>1.7269439540443795E-2</v>
      </c>
      <c r="S57" s="2"/>
      <c r="T57" s="2"/>
      <c r="U57" s="2"/>
      <c r="V57" s="23">
        <f t="shared" si="10"/>
        <v>0</v>
      </c>
      <c r="W57" s="2"/>
      <c r="X57" s="2">
        <f t="shared" si="11"/>
        <v>8390.17</v>
      </c>
      <c r="Y57" s="2"/>
      <c r="Z57" s="23">
        <f t="shared" si="12"/>
        <v>0</v>
      </c>
    </row>
    <row r="58" spans="1:26" s="24" customFormat="1" hidden="1" outlineLevel="1" x14ac:dyDescent="0.25">
      <c r="A58" s="51"/>
      <c r="B58" s="11" t="str">
        <f>CONCATENATE("          ", "5200", " - ", "PURCHASES OFFSET")</f>
        <v xml:space="preserve">          5200 - PURCHASES OFFSET</v>
      </c>
      <c r="C58" s="11"/>
      <c r="D58" s="2">
        <v>-18536.04</v>
      </c>
      <c r="E58" s="2"/>
      <c r="F58" s="23">
        <f t="shared" si="5"/>
        <v>-5.9590236352447604E-2</v>
      </c>
      <c r="G58" s="2"/>
      <c r="H58" s="2"/>
      <c r="I58" s="2"/>
      <c r="J58" s="23">
        <f t="shared" si="6"/>
        <v>0</v>
      </c>
      <c r="K58" s="2"/>
      <c r="L58" s="2">
        <f t="shared" si="7"/>
        <v>-18536.04</v>
      </c>
      <c r="M58" s="2"/>
      <c r="N58" s="23">
        <f t="shared" si="8"/>
        <v>0</v>
      </c>
      <c r="O58" s="11"/>
      <c r="P58" s="2">
        <v>-31649.64</v>
      </c>
      <c r="Q58" s="2"/>
      <c r="R58" s="23">
        <f t="shared" si="9"/>
        <v>-6.5144275319428749E-2</v>
      </c>
      <c r="S58" s="2"/>
      <c r="T58" s="2"/>
      <c r="U58" s="2"/>
      <c r="V58" s="23">
        <f t="shared" si="10"/>
        <v>0</v>
      </c>
      <c r="W58" s="2"/>
      <c r="X58" s="2">
        <f t="shared" si="11"/>
        <v>-31649.64</v>
      </c>
      <c r="Y58" s="2"/>
      <c r="Z58" s="23">
        <f t="shared" si="12"/>
        <v>0</v>
      </c>
    </row>
    <row r="59" spans="1:26" s="24" customFormat="1" hidden="1" outlineLevel="1" x14ac:dyDescent="0.25">
      <c r="A59" s="51"/>
      <c r="B59" s="11" t="str">
        <f>CONCATENATE("          ", "5300", " - ", "COG$ OFFSET")</f>
        <v xml:space="preserve">          5300 - COG$ OFFSET</v>
      </c>
      <c r="C59" s="11"/>
      <c r="D59" s="2">
        <v>180056</v>
      </c>
      <c r="E59" s="2"/>
      <c r="F59" s="23">
        <f t="shared" si="5"/>
        <v>0.57884961386986133</v>
      </c>
      <c r="G59" s="2"/>
      <c r="H59" s="2"/>
      <c r="I59" s="2"/>
      <c r="J59" s="23">
        <f t="shared" si="6"/>
        <v>0</v>
      </c>
      <c r="K59" s="2"/>
      <c r="L59" s="2">
        <f t="shared" si="7"/>
        <v>180056</v>
      </c>
      <c r="M59" s="2"/>
      <c r="N59" s="23">
        <f t="shared" si="8"/>
        <v>0</v>
      </c>
      <c r="O59" s="11"/>
      <c r="P59" s="2">
        <v>289596</v>
      </c>
      <c r="Q59" s="2"/>
      <c r="R59" s="23">
        <f t="shared" si="9"/>
        <v>0.59607381175284424</v>
      </c>
      <c r="S59" s="2"/>
      <c r="T59" s="2"/>
      <c r="U59" s="2"/>
      <c r="V59" s="23">
        <f t="shared" si="10"/>
        <v>0</v>
      </c>
      <c r="W59" s="2"/>
      <c r="X59" s="2">
        <f t="shared" si="11"/>
        <v>289596</v>
      </c>
      <c r="Y59" s="2"/>
      <c r="Z59" s="23">
        <f t="shared" si="12"/>
        <v>0</v>
      </c>
    </row>
    <row r="60" spans="1:26" s="24" customFormat="1" hidden="1" outlineLevel="1" x14ac:dyDescent="0.25">
      <c r="A60" s="51"/>
      <c r="B60" s="11" t="str">
        <f>CONCATENATE("          ", "5540", " - ", "FREIGHT-IN-LOGO CLOTHING")</f>
        <v xml:space="preserve">          5540 - FREIGHT-IN-LOGO CLOTHING</v>
      </c>
      <c r="C60" s="11"/>
      <c r="D60" s="2">
        <v>1021.7</v>
      </c>
      <c r="E60" s="2"/>
      <c r="F60" s="23">
        <f t="shared" si="5"/>
        <v>3.2845928516174821E-3</v>
      </c>
      <c r="G60" s="2"/>
      <c r="H60" s="2"/>
      <c r="I60" s="2"/>
      <c r="J60" s="23">
        <f t="shared" si="6"/>
        <v>0</v>
      </c>
      <c r="K60" s="2"/>
      <c r="L60" s="2">
        <f t="shared" si="7"/>
        <v>1021.7</v>
      </c>
      <c r="M60" s="2"/>
      <c r="N60" s="23">
        <f t="shared" si="8"/>
        <v>0</v>
      </c>
      <c r="O60" s="11"/>
      <c r="P60" s="2">
        <v>1931.53</v>
      </c>
      <c r="Q60" s="2"/>
      <c r="R60" s="23">
        <f t="shared" si="9"/>
        <v>3.9756572936607247E-3</v>
      </c>
      <c r="S60" s="2"/>
      <c r="T60" s="2"/>
      <c r="U60" s="2"/>
      <c r="V60" s="23">
        <f t="shared" si="10"/>
        <v>0</v>
      </c>
      <c r="W60" s="2"/>
      <c r="X60" s="2">
        <f t="shared" si="11"/>
        <v>1931.53</v>
      </c>
      <c r="Y60" s="2"/>
      <c r="Z60" s="23">
        <f t="shared" si="12"/>
        <v>0</v>
      </c>
    </row>
    <row r="61" spans="1:26" s="24" customFormat="1" hidden="1" outlineLevel="1" x14ac:dyDescent="0.25">
      <c r="A61" s="51"/>
      <c r="B61" s="11" t="str">
        <f>CONCATENATE("          ", "5541", " - ", "FREIGHT-IN-LOGO GIFTS")</f>
        <v xml:space="preserve">          5541 - FREIGHT-IN-LOGO GIFTS</v>
      </c>
      <c r="C61" s="11"/>
      <c r="D61" s="2">
        <v>123.12</v>
      </c>
      <c r="E61" s="2"/>
      <c r="F61" s="23">
        <f t="shared" si="5"/>
        <v>3.9580999499965196E-4</v>
      </c>
      <c r="G61" s="2"/>
      <c r="H61" s="2"/>
      <c r="I61" s="2"/>
      <c r="J61" s="23">
        <f t="shared" si="6"/>
        <v>0</v>
      </c>
      <c r="K61" s="2"/>
      <c r="L61" s="2">
        <f t="shared" si="7"/>
        <v>123.12</v>
      </c>
      <c r="M61" s="2"/>
      <c r="N61" s="23">
        <f t="shared" si="8"/>
        <v>0</v>
      </c>
      <c r="O61" s="11"/>
      <c r="P61" s="2">
        <v>206.7</v>
      </c>
      <c r="Q61" s="2"/>
      <c r="R61" s="23">
        <f t="shared" si="9"/>
        <v>4.2544944298026526E-4</v>
      </c>
      <c r="S61" s="2"/>
      <c r="T61" s="2"/>
      <c r="U61" s="2"/>
      <c r="V61" s="23">
        <f t="shared" si="10"/>
        <v>0</v>
      </c>
      <c r="W61" s="2"/>
      <c r="X61" s="2">
        <f t="shared" si="11"/>
        <v>206.7</v>
      </c>
      <c r="Y61" s="2"/>
      <c r="Z61" s="23">
        <f t="shared" si="12"/>
        <v>0</v>
      </c>
    </row>
    <row r="62" spans="1:26" s="24" customFormat="1" hidden="1" outlineLevel="1" x14ac:dyDescent="0.25">
      <c r="A62" s="51"/>
      <c r="B62" s="11" t="str">
        <f>CONCATENATE("          ", "5542", " - ", "FREIGHT-IN-EVERYDAY GIFTS")</f>
        <v xml:space="preserve">          5542 - FREIGHT-IN-EVERYDAY GIFTS</v>
      </c>
      <c r="C62" s="11"/>
      <c r="D62" s="2"/>
      <c r="E62" s="2"/>
      <c r="F62" s="23">
        <f t="shared" si="5"/>
        <v>0</v>
      </c>
      <c r="G62" s="2"/>
      <c r="H62" s="2"/>
      <c r="I62" s="2"/>
      <c r="J62" s="23">
        <f t="shared" si="6"/>
        <v>0</v>
      </c>
      <c r="K62" s="2"/>
      <c r="L62" s="2">
        <f t="shared" si="7"/>
        <v>0</v>
      </c>
      <c r="M62" s="2"/>
      <c r="N62" s="23">
        <f t="shared" si="8"/>
        <v>0</v>
      </c>
      <c r="O62" s="11"/>
      <c r="P62" s="2">
        <v>5.94</v>
      </c>
      <c r="Q62" s="2"/>
      <c r="R62" s="23">
        <f t="shared" si="9"/>
        <v>1.222626846300327E-5</v>
      </c>
      <c r="S62" s="2"/>
      <c r="T62" s="2"/>
      <c r="U62" s="2"/>
      <c r="V62" s="23">
        <f t="shared" si="10"/>
        <v>0</v>
      </c>
      <c r="W62" s="2"/>
      <c r="X62" s="2">
        <f t="shared" si="11"/>
        <v>5.94</v>
      </c>
      <c r="Y62" s="2"/>
      <c r="Z62" s="23">
        <f t="shared" si="12"/>
        <v>0</v>
      </c>
    </row>
    <row r="63" spans="1:26" s="24" customFormat="1" hidden="1" outlineLevel="1" x14ac:dyDescent="0.25">
      <c r="A63" s="51"/>
      <c r="B63" s="11" t="str">
        <f>CONCATENATE("          ", "5545", " - ", "FREIGHT-IN-SPECIAL ORDERS")</f>
        <v xml:space="preserve">          5545 - FREIGHT-IN-SPECIAL ORDERS</v>
      </c>
      <c r="C63" s="11"/>
      <c r="D63" s="2">
        <v>145.6</v>
      </c>
      <c r="E63" s="2"/>
      <c r="F63" s="23">
        <f t="shared" si="5"/>
        <v>4.6807939629588466E-4</v>
      </c>
      <c r="G63" s="2"/>
      <c r="H63" s="2"/>
      <c r="I63" s="2"/>
      <c r="J63" s="23">
        <f t="shared" si="6"/>
        <v>0</v>
      </c>
      <c r="K63" s="2"/>
      <c r="L63" s="2">
        <f t="shared" si="7"/>
        <v>145.6</v>
      </c>
      <c r="M63" s="2"/>
      <c r="N63" s="23">
        <f t="shared" si="8"/>
        <v>0</v>
      </c>
      <c r="O63" s="11"/>
      <c r="P63" s="2">
        <v>446</v>
      </c>
      <c r="Q63" s="2"/>
      <c r="R63" s="23">
        <f t="shared" si="9"/>
        <v>9.1799928190226571E-4</v>
      </c>
      <c r="S63" s="2"/>
      <c r="T63" s="2"/>
      <c r="U63" s="2"/>
      <c r="V63" s="23">
        <f t="shared" si="10"/>
        <v>0</v>
      </c>
      <c r="W63" s="2"/>
      <c r="X63" s="2">
        <f t="shared" si="11"/>
        <v>446</v>
      </c>
      <c r="Y63" s="2"/>
      <c r="Z63" s="23">
        <f t="shared" si="12"/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2" customFormat="1" x14ac:dyDescent="0.25">
      <c r="A65" s="10"/>
      <c r="B65" s="26" t="s">
        <v>6</v>
      </c>
      <c r="C65" s="26"/>
      <c r="D65" s="21">
        <f>D12-D50</f>
        <v>131002.33999999991</v>
      </c>
      <c r="E65" s="13"/>
      <c r="F65" s="20">
        <f>IF(D$12=0,0,D65/D$12)</f>
        <v>0.42115038613013861</v>
      </c>
      <c r="G65" s="13"/>
      <c r="H65" s="21">
        <f>H12-H50</f>
        <v>203861</v>
      </c>
      <c r="I65" s="13"/>
      <c r="J65" s="20">
        <f>IF(H$12=0,0,H65/H$12)</f>
        <v>0.5432179362829217</v>
      </c>
      <c r="K65" s="16"/>
      <c r="L65" s="21">
        <f>+D65-H65</f>
        <v>-72858.660000000091</v>
      </c>
      <c r="M65" s="16"/>
      <c r="N65" s="20">
        <f>IF(H65=0,0,L65/H65)</f>
        <v>-0.35739381245064084</v>
      </c>
      <c r="O65" s="25"/>
      <c r="P65" s="21">
        <f>P12-P50</f>
        <v>195243.21999999997</v>
      </c>
      <c r="Q65" s="13"/>
      <c r="R65" s="20">
        <f>IF(P$12=0,0,P65/P$12)</f>
        <v>0.40186801739077593</v>
      </c>
      <c r="S65" s="13"/>
      <c r="T65" s="21">
        <f>T12-T50</f>
        <v>329049</v>
      </c>
      <c r="U65" s="13"/>
      <c r="V65" s="20">
        <f>IF(T$12=0,0,T65/T$12)</f>
        <v>0.54367146645517861</v>
      </c>
      <c r="W65" s="16"/>
      <c r="X65" s="21">
        <f>+P65-T65</f>
        <v>-133805.78000000003</v>
      </c>
      <c r="Y65" s="16"/>
      <c r="Z65" s="20">
        <f>IF(T65=0,0,X65/T65)</f>
        <v>-0.40664393449000008</v>
      </c>
    </row>
    <row r="66" spans="1:26" x14ac:dyDescent="0.25">
      <c r="A66" s="9"/>
      <c r="B66" s="10"/>
      <c r="C66" s="9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2" customFormat="1" x14ac:dyDescent="0.25">
      <c r="A67" s="10"/>
      <c r="B67" s="25" t="s">
        <v>9</v>
      </c>
      <c r="C67" s="10"/>
      <c r="D67" s="19">
        <f>SUM(OSRRefD22x_0)</f>
        <v>78463.589999999982</v>
      </c>
      <c r="E67" s="19"/>
      <c r="F67" s="30">
        <f t="shared" ref="F67:F77" si="13">IF(D$12=0,0,D67/D$12)</f>
        <v>0.25224718295609755</v>
      </c>
      <c r="G67" s="19"/>
      <c r="H67" s="19">
        <f>SUM(OSRRefH22x_0)</f>
        <v>128118.72330192305</v>
      </c>
      <c r="I67" s="19"/>
      <c r="J67" s="30">
        <f t="shared" ref="J67:J77" si="14">IF(H$12=0,0,H67/H$12)</f>
        <v>0.34139138173202976</v>
      </c>
      <c r="K67" s="4"/>
      <c r="L67" s="19">
        <f t="shared" ref="L67:L77" si="15">+D67-H67</f>
        <v>-49655.133301923066</v>
      </c>
      <c r="M67" s="4"/>
      <c r="N67" s="30">
        <f t="shared" ref="N67:N77" si="16">IF(H67=0,0,L67/H67)</f>
        <v>-0.38757124659216574</v>
      </c>
      <c r="O67" s="10"/>
      <c r="P67" s="19">
        <f>SUM(OSRRefP22x_0)</f>
        <v>141246.05000000005</v>
      </c>
      <c r="Q67" s="19"/>
      <c r="R67" s="30">
        <f t="shared" ref="R67:R77" si="17">IF(P$12=0,0,P67/P$12)</f>
        <v>0.29072594724558648</v>
      </c>
      <c r="S67" s="19"/>
      <c r="T67" s="19">
        <f>SUM(OSRRefT22x_0)</f>
        <v>253611.9097680769</v>
      </c>
      <c r="U67" s="19"/>
      <c r="V67" s="30">
        <f t="shared" ref="V67:V77" si="18">IF(T$12=0,0,T67/T$12)</f>
        <v>0.41903047538241661</v>
      </c>
      <c r="W67" s="4"/>
      <c r="X67" s="19">
        <f t="shared" ref="X67:X77" si="19">+P67-T67</f>
        <v>-112365.85976807686</v>
      </c>
      <c r="Y67" s="4"/>
      <c r="Z67" s="30">
        <f t="shared" ref="Z67:Z77" si="20">IF(T67=0,0,X67/T67)</f>
        <v>-0.44306223580285808</v>
      </c>
    </row>
    <row r="68" spans="1:26" s="29" customFormat="1" outlineLevel="1" collapsed="1" x14ac:dyDescent="0.25">
      <c r="A68" s="28"/>
      <c r="B68" s="14" t="str">
        <f>CONCATENATE("     ","*Benefits                                         ")</f>
        <v xml:space="preserve">     *Benefits                                         </v>
      </c>
      <c r="C68" s="14"/>
      <c r="D68" s="1">
        <f>SUM(OSRRefD22_0x_0)</f>
        <v>15999.289999999999</v>
      </c>
      <c r="E68" s="1"/>
      <c r="F68" s="5">
        <f t="shared" si="13"/>
        <v>5.1435013766227916E-2</v>
      </c>
      <c r="G68" s="1"/>
      <c r="H68" s="1">
        <f>SUM(OSRRefH22_0x_0)</f>
        <v>17030.761763461538</v>
      </c>
      <c r="I68" s="1"/>
      <c r="J68" s="5">
        <f t="shared" si="14"/>
        <v>4.5380996161471149E-2</v>
      </c>
      <c r="K68" s="1"/>
      <c r="L68" s="1">
        <f t="shared" si="15"/>
        <v>-1031.471763461539</v>
      </c>
      <c r="M68" s="1"/>
      <c r="N68" s="5">
        <f t="shared" si="16"/>
        <v>-6.0565215918556202E-2</v>
      </c>
      <c r="O68" s="14"/>
      <c r="P68" s="1">
        <f>SUM(OSRRefP22_0x_0)</f>
        <v>29064.719999999998</v>
      </c>
      <c r="Q68" s="1"/>
      <c r="R68" s="5">
        <f t="shared" si="17"/>
        <v>5.9823749077781208E-2</v>
      </c>
      <c r="S68" s="1"/>
      <c r="T68" s="1">
        <f>SUM(OSRRefT22_0x_0)</f>
        <v>35127.121306538444</v>
      </c>
      <c r="U68" s="1"/>
      <c r="V68" s="5">
        <f t="shared" si="18"/>
        <v>5.8038813529519021E-2</v>
      </c>
      <c r="W68" s="1"/>
      <c r="X68" s="1">
        <f t="shared" si="19"/>
        <v>-6062.4013065384461</v>
      </c>
      <c r="Y68" s="1"/>
      <c r="Z68" s="5">
        <f t="shared" si="20"/>
        <v>-0.17258463207487518</v>
      </c>
    </row>
    <row r="69" spans="1:26" s="24" customFormat="1" hidden="1" outlineLevel="2" x14ac:dyDescent="0.25">
      <c r="A69" s="27"/>
      <c r="B69" s="11" t="str">
        <f>CONCATENATE("          ", "6111", " - ", "F.I.C.A.")</f>
        <v xml:space="preserve">          6111 - F.I.C.A.</v>
      </c>
      <c r="C69" s="11"/>
      <c r="D69" s="6">
        <v>2882.59</v>
      </c>
      <c r="E69" s="2"/>
      <c r="F69" s="7">
        <f t="shared" si="13"/>
        <v>9.2670397456631488E-3</v>
      </c>
      <c r="G69" s="2"/>
      <c r="H69" s="6">
        <v>4994.4508211538478</v>
      </c>
      <c r="I69" s="2"/>
      <c r="J69" s="7">
        <f t="shared" si="14"/>
        <v>1.3308456585289667E-2</v>
      </c>
      <c r="K69" s="2"/>
      <c r="L69" s="6">
        <f t="shared" si="15"/>
        <v>-2111.8608211538476</v>
      </c>
      <c r="M69" s="2"/>
      <c r="N69" s="7">
        <f t="shared" si="16"/>
        <v>-0.42284144879535585</v>
      </c>
      <c r="O69" s="11"/>
      <c r="P69" s="6">
        <v>4954.8</v>
      </c>
      <c r="Q69" s="2"/>
      <c r="R69" s="7">
        <f t="shared" si="17"/>
        <v>1.0198436865402121E-2</v>
      </c>
      <c r="S69" s="2"/>
      <c r="T69" s="6">
        <v>10073.464348846153</v>
      </c>
      <c r="U69" s="2"/>
      <c r="V69" s="7">
        <f t="shared" si="18"/>
        <v>1.6643889313813897E-2</v>
      </c>
      <c r="W69" s="2"/>
      <c r="X69" s="6">
        <f t="shared" si="19"/>
        <v>-5118.6643488461532</v>
      </c>
      <c r="Y69" s="2"/>
      <c r="Z69" s="7">
        <f t="shared" si="20"/>
        <v>-0.50813346546786176</v>
      </c>
    </row>
    <row r="70" spans="1:26" s="24" customFormat="1" hidden="1" outlineLevel="2" x14ac:dyDescent="0.25">
      <c r="A70" s="27"/>
      <c r="B70" s="11" t="str">
        <f>CONCATENATE("          ", "6112", " - ", "COMPENSATION INSURANCE")</f>
        <v xml:space="preserve">          6112 - COMPENSATION INSURANCE</v>
      </c>
      <c r="C70" s="11"/>
      <c r="D70" s="6">
        <v>983.4</v>
      </c>
      <c r="E70" s="2"/>
      <c r="F70" s="7">
        <f t="shared" si="13"/>
        <v>3.161464823608331E-3</v>
      </c>
      <c r="G70" s="2"/>
      <c r="H70" s="6">
        <v>1207.334903846152</v>
      </c>
      <c r="I70" s="2"/>
      <c r="J70" s="7">
        <f t="shared" si="14"/>
        <v>3.2171233088704875E-3</v>
      </c>
      <c r="K70" s="2"/>
      <c r="L70" s="6">
        <f t="shared" si="15"/>
        <v>-223.934903846152</v>
      </c>
      <c r="M70" s="2"/>
      <c r="N70" s="7">
        <f t="shared" si="16"/>
        <v>-0.1854786962033258</v>
      </c>
      <c r="O70" s="11"/>
      <c r="P70" s="6">
        <v>1574.38</v>
      </c>
      <c r="Q70" s="2"/>
      <c r="R70" s="7">
        <f t="shared" si="17"/>
        <v>3.2405374651149981E-3</v>
      </c>
      <c r="S70" s="2"/>
      <c r="T70" s="6">
        <v>2435.1115961538471</v>
      </c>
      <c r="U70" s="2"/>
      <c r="V70" s="7">
        <f t="shared" si="18"/>
        <v>4.0234150307795272E-3</v>
      </c>
      <c r="W70" s="2"/>
      <c r="X70" s="6">
        <f t="shared" si="19"/>
        <v>-860.73159615384702</v>
      </c>
      <c r="Y70" s="2"/>
      <c r="Z70" s="7">
        <f t="shared" si="20"/>
        <v>-0.35346700229810213</v>
      </c>
    </row>
    <row r="71" spans="1:26" s="24" customFormat="1" hidden="1" outlineLevel="2" x14ac:dyDescent="0.25">
      <c r="A71" s="27"/>
      <c r="B71" s="11" t="str">
        <f>CONCATENATE("          ", "6113", " - ", "GROUP INSURANCE")</f>
        <v xml:space="preserve">          6113 - GROUP INSURANCE</v>
      </c>
      <c r="C71" s="11"/>
      <c r="D71" s="6">
        <v>6377.33</v>
      </c>
      <c r="E71" s="2"/>
      <c r="F71" s="7">
        <f t="shared" si="13"/>
        <v>2.0502038299310674E-2</v>
      </c>
      <c r="G71" s="2"/>
      <c r="H71" s="6">
        <v>5958.8461538461497</v>
      </c>
      <c r="I71" s="2"/>
      <c r="J71" s="7">
        <f t="shared" si="14"/>
        <v>1.5878231296421241E-2</v>
      </c>
      <c r="K71" s="2"/>
      <c r="L71" s="6">
        <f t="shared" si="15"/>
        <v>418.48384615385021</v>
      </c>
      <c r="M71" s="2"/>
      <c r="N71" s="7">
        <f t="shared" si="16"/>
        <v>7.0229006648164422E-2</v>
      </c>
      <c r="O71" s="11"/>
      <c r="P71" s="6">
        <v>11215.93</v>
      </c>
      <c r="Q71" s="2"/>
      <c r="R71" s="7">
        <f t="shared" si="17"/>
        <v>2.3085685394318562E-2</v>
      </c>
      <c r="S71" s="2"/>
      <c r="T71" s="6">
        <v>12071.15384615384</v>
      </c>
      <c r="U71" s="2"/>
      <c r="V71" s="7">
        <f t="shared" si="18"/>
        <v>1.994457334118787E-2</v>
      </c>
      <c r="W71" s="2"/>
      <c r="X71" s="6">
        <f t="shared" si="19"/>
        <v>-855.22384615383999</v>
      </c>
      <c r="Y71" s="2"/>
      <c r="Z71" s="7">
        <f t="shared" si="20"/>
        <v>-7.084855822845261E-2</v>
      </c>
    </row>
    <row r="72" spans="1:26" s="24" customFormat="1" hidden="1" outlineLevel="2" x14ac:dyDescent="0.25">
      <c r="A72" s="27"/>
      <c r="B72" s="11" t="str">
        <f>CONCATENATE("          ", "6114", " - ", "STATE UNEMPLOYMENT INSURANCE")</f>
        <v xml:space="preserve">          6114 - STATE UNEMPLOYMENT INSURANCE</v>
      </c>
      <c r="C72" s="11"/>
      <c r="D72" s="6">
        <v>107.75</v>
      </c>
      <c r="E72" s="2"/>
      <c r="F72" s="7">
        <f t="shared" si="13"/>
        <v>3.4639804224506578E-4</v>
      </c>
      <c r="G72" s="2"/>
      <c r="H72" s="6">
        <v>169.67949999999999</v>
      </c>
      <c r="I72" s="2"/>
      <c r="J72" s="7">
        <f t="shared" si="14"/>
        <v>4.5213624881423133E-4</v>
      </c>
      <c r="K72" s="2"/>
      <c r="L72" s="6">
        <f t="shared" si="15"/>
        <v>-61.92949999999999</v>
      </c>
      <c r="M72" s="2"/>
      <c r="N72" s="7">
        <f t="shared" si="16"/>
        <v>-0.36497926974089384</v>
      </c>
      <c r="O72" s="11"/>
      <c r="P72" s="6">
        <v>175.15</v>
      </c>
      <c r="Q72" s="2"/>
      <c r="R72" s="7">
        <f t="shared" si="17"/>
        <v>3.6051025611027321E-4</v>
      </c>
      <c r="S72" s="2"/>
      <c r="T72" s="6">
        <v>342.2319</v>
      </c>
      <c r="U72" s="2"/>
      <c r="V72" s="7">
        <f t="shared" si="18"/>
        <v>5.6545292324469004E-4</v>
      </c>
      <c r="W72" s="2"/>
      <c r="X72" s="6">
        <f t="shared" si="19"/>
        <v>-167.08189999999999</v>
      </c>
      <c r="Y72" s="2"/>
      <c r="Z72" s="7">
        <f t="shared" si="20"/>
        <v>-0.48821252489905237</v>
      </c>
    </row>
    <row r="73" spans="1:26" s="24" customFormat="1" hidden="1" outlineLevel="2" x14ac:dyDescent="0.25">
      <c r="A73" s="27"/>
      <c r="B73" s="11" t="str">
        <f>CONCATENATE("          ", "6115", " - ", "P.E.R.S.")</f>
        <v xml:space="preserve">          6115 - P.E.R.S.</v>
      </c>
      <c r="C73" s="11"/>
      <c r="D73" s="6">
        <v>1889.29</v>
      </c>
      <c r="E73" s="2"/>
      <c r="F73" s="7">
        <f t="shared" si="13"/>
        <v>6.073748094971511E-3</v>
      </c>
      <c r="G73" s="2"/>
      <c r="H73" s="6">
        <v>1342.790769230772</v>
      </c>
      <c r="I73" s="2"/>
      <c r="J73" s="7">
        <f t="shared" si="14"/>
        <v>3.5780655962704831E-3</v>
      </c>
      <c r="K73" s="2"/>
      <c r="L73" s="6">
        <f t="shared" si="15"/>
        <v>546.49923076922801</v>
      </c>
      <c r="M73" s="2"/>
      <c r="N73" s="7">
        <f t="shared" si="16"/>
        <v>0.4069876285210795</v>
      </c>
      <c r="O73" s="11"/>
      <c r="P73" s="6">
        <v>4401.66</v>
      </c>
      <c r="Q73" s="2"/>
      <c r="R73" s="7">
        <f t="shared" si="17"/>
        <v>9.0599119264079073E-3</v>
      </c>
      <c r="S73" s="2"/>
      <c r="T73" s="6">
        <v>3021.2792307692289</v>
      </c>
      <c r="U73" s="2"/>
      <c r="V73" s="7">
        <f t="shared" si="18"/>
        <v>4.9919109614764987E-3</v>
      </c>
      <c r="W73" s="2"/>
      <c r="X73" s="6">
        <f t="shared" si="19"/>
        <v>1380.380769230771</v>
      </c>
      <c r="Y73" s="2"/>
      <c r="Z73" s="7">
        <f t="shared" si="20"/>
        <v>0.45688619415667875</v>
      </c>
    </row>
    <row r="74" spans="1:26" s="24" customFormat="1" hidden="1" outlineLevel="2" x14ac:dyDescent="0.25">
      <c r="A74" s="27"/>
      <c r="B74" s="11" t="str">
        <f>CONCATENATE("          ", "6116", " - ", "EDUCATIONAL BENEFITS")</f>
        <v xml:space="preserve">          6116 - EDUCATIONAL BENEFITS</v>
      </c>
      <c r="C74" s="11"/>
      <c r="D74" s="6"/>
      <c r="E74" s="2"/>
      <c r="F74" s="7">
        <f t="shared" si="13"/>
        <v>0</v>
      </c>
      <c r="G74" s="2"/>
      <c r="H74" s="6">
        <v>0</v>
      </c>
      <c r="I74" s="2"/>
      <c r="J74" s="7">
        <f t="shared" si="14"/>
        <v>0</v>
      </c>
      <c r="K74" s="2"/>
      <c r="L74" s="6">
        <f t="shared" si="15"/>
        <v>0</v>
      </c>
      <c r="M74" s="2"/>
      <c r="N74" s="7">
        <f t="shared" si="16"/>
        <v>0</v>
      </c>
      <c r="O74" s="11"/>
      <c r="P74" s="6"/>
      <c r="Q74" s="2"/>
      <c r="R74" s="7">
        <f t="shared" si="17"/>
        <v>0</v>
      </c>
      <c r="S74" s="2"/>
      <c r="T74" s="6">
        <v>0</v>
      </c>
      <c r="U74" s="2"/>
      <c r="V74" s="7">
        <f t="shared" si="18"/>
        <v>0</v>
      </c>
      <c r="W74" s="2"/>
      <c r="X74" s="6">
        <f t="shared" si="19"/>
        <v>0</v>
      </c>
      <c r="Y74" s="2"/>
      <c r="Z74" s="7">
        <f t="shared" si="20"/>
        <v>0</v>
      </c>
    </row>
    <row r="75" spans="1:26" s="24" customFormat="1" hidden="1" outlineLevel="2" x14ac:dyDescent="0.25">
      <c r="A75" s="27"/>
      <c r="B75" s="11" t="str">
        <f>CONCATENATE("          ", "6118", " - ", "VACATION")</f>
        <v xml:space="preserve">          6118 - VACATION</v>
      </c>
      <c r="C75" s="11"/>
      <c r="D75" s="6">
        <v>1849.98</v>
      </c>
      <c r="E75" s="2"/>
      <c r="F75" s="7">
        <f t="shared" si="13"/>
        <v>5.9473730876336596E-3</v>
      </c>
      <c r="G75" s="2"/>
      <c r="H75" s="6">
        <v>972.69230769230808</v>
      </c>
      <c r="I75" s="2"/>
      <c r="J75" s="7">
        <f t="shared" si="14"/>
        <v>2.5918832342767292E-3</v>
      </c>
      <c r="K75" s="2"/>
      <c r="L75" s="6">
        <f t="shared" si="15"/>
        <v>877.28769230769194</v>
      </c>
      <c r="M75" s="2"/>
      <c r="N75" s="7">
        <f t="shared" si="16"/>
        <v>0.901916963226571</v>
      </c>
      <c r="O75" s="11"/>
      <c r="P75" s="6">
        <v>3475.01</v>
      </c>
      <c r="Q75" s="2"/>
      <c r="R75" s="7">
        <f t="shared" si="17"/>
        <v>7.1525934632358573E-3</v>
      </c>
      <c r="S75" s="2"/>
      <c r="T75" s="6">
        <v>2188.5576923076892</v>
      </c>
      <c r="U75" s="2"/>
      <c r="V75" s="7">
        <f t="shared" si="18"/>
        <v>3.616046151177128E-3</v>
      </c>
      <c r="W75" s="2"/>
      <c r="X75" s="6">
        <f t="shared" si="19"/>
        <v>1286.452307692311</v>
      </c>
      <c r="Y75" s="2"/>
      <c r="Z75" s="7">
        <f t="shared" si="20"/>
        <v>0.58780826852950463</v>
      </c>
    </row>
    <row r="76" spans="1:26" s="24" customFormat="1" hidden="1" outlineLevel="2" x14ac:dyDescent="0.25">
      <c r="A76" s="27"/>
      <c r="B76" s="11" t="str">
        <f>CONCATENATE("          ", "6119", " - ", "SICK LEAVE")</f>
        <v xml:space="preserve">          6119 - SICK LEAVE</v>
      </c>
      <c r="C76" s="11"/>
      <c r="D76" s="6">
        <v>1319.82</v>
      </c>
      <c r="E76" s="2"/>
      <c r="F76" s="7">
        <f t="shared" si="13"/>
        <v>4.2429982748573795E-3</v>
      </c>
      <c r="G76" s="2"/>
      <c r="H76" s="6">
        <v>1509.967307692305</v>
      </c>
      <c r="I76" s="2"/>
      <c r="J76" s="7">
        <f t="shared" si="14"/>
        <v>4.0235323320266915E-3</v>
      </c>
      <c r="K76" s="2"/>
      <c r="L76" s="6">
        <f t="shared" si="15"/>
        <v>-190.14730769230505</v>
      </c>
      <c r="M76" s="2"/>
      <c r="N76" s="7">
        <f t="shared" si="16"/>
        <v>-0.12592809574328379</v>
      </c>
      <c r="O76" s="11"/>
      <c r="P76" s="6">
        <v>2320.35</v>
      </c>
      <c r="Q76" s="2"/>
      <c r="R76" s="7">
        <f t="shared" si="17"/>
        <v>4.7759633043989282E-3</v>
      </c>
      <c r="S76" s="2"/>
      <c r="T76" s="6">
        <v>3245.3226923076863</v>
      </c>
      <c r="U76" s="2"/>
      <c r="V76" s="7">
        <f t="shared" si="18"/>
        <v>5.3620869452488474E-3</v>
      </c>
      <c r="W76" s="2"/>
      <c r="X76" s="6">
        <f t="shared" si="19"/>
        <v>-924.97269230768643</v>
      </c>
      <c r="Y76" s="2"/>
      <c r="Z76" s="7">
        <f t="shared" si="20"/>
        <v>-0.28501717086566702</v>
      </c>
    </row>
    <row r="77" spans="1:26" s="24" customFormat="1" hidden="1" outlineLevel="2" x14ac:dyDescent="0.25">
      <c r="A77" s="27"/>
      <c r="B77" s="11" t="str">
        <f>CONCATENATE("          ", "6156", " - ", "EMPLOYEE MEALS")</f>
        <v xml:space="preserve">          6156 - EMPLOYEE MEALS</v>
      </c>
      <c r="C77" s="11"/>
      <c r="D77" s="6">
        <v>589.13</v>
      </c>
      <c r="E77" s="2"/>
      <c r="F77" s="7">
        <f t="shared" si="13"/>
        <v>1.8939533979381493E-3</v>
      </c>
      <c r="G77" s="2"/>
      <c r="H77" s="6">
        <v>875</v>
      </c>
      <c r="I77" s="2"/>
      <c r="J77" s="7">
        <f t="shared" si="14"/>
        <v>2.331567559501604E-3</v>
      </c>
      <c r="K77" s="2"/>
      <c r="L77" s="6">
        <f t="shared" si="15"/>
        <v>-285.87</v>
      </c>
      <c r="M77" s="2"/>
      <c r="N77" s="7">
        <f t="shared" si="16"/>
        <v>-0.32670857142857146</v>
      </c>
      <c r="O77" s="11"/>
      <c r="P77" s="6">
        <v>947.44</v>
      </c>
      <c r="Q77" s="2"/>
      <c r="R77" s="7">
        <f t="shared" si="17"/>
        <v>1.950110402792562E-3</v>
      </c>
      <c r="S77" s="2"/>
      <c r="T77" s="6">
        <v>1750</v>
      </c>
      <c r="U77" s="2"/>
      <c r="V77" s="7">
        <f t="shared" si="18"/>
        <v>2.8914388625905642E-3</v>
      </c>
      <c r="W77" s="2"/>
      <c r="X77" s="6">
        <f t="shared" si="19"/>
        <v>-802.56</v>
      </c>
      <c r="Y77" s="2"/>
      <c r="Z77" s="7">
        <f t="shared" si="20"/>
        <v>-0.45860571428571423</v>
      </c>
    </row>
    <row r="78" spans="1:26" s="29" customFormat="1" outlineLevel="1" collapsed="1" x14ac:dyDescent="0.25">
      <c r="A78" s="28"/>
      <c r="B78" s="14" t="str">
        <f>CONCATENATE("     ","*Payroll                                          ")</f>
        <v xml:space="preserve">     *Payroll                                          </v>
      </c>
      <c r="C78" s="14"/>
      <c r="D78" s="1">
        <f>SUM(OSRRefD22_1x_0)</f>
        <v>41314.639999999999</v>
      </c>
      <c r="E78" s="1"/>
      <c r="F78" s="5">
        <f t="shared" ref="F78:F88" si="21">IF(D$12=0,0,D78/D$12)</f>
        <v>0.13281958619080914</v>
      </c>
      <c r="G78" s="1"/>
      <c r="H78" s="1">
        <f>SUM(OSRRefH22_1x_0)</f>
        <v>63216.961538461517</v>
      </c>
      <c r="I78" s="1"/>
      <c r="J78" s="5">
        <f t="shared" ref="J78:J88" si="22">IF(H$12=0,0,H78/H$12)</f>
        <v>0.16845099055238572</v>
      </c>
      <c r="K78" s="1"/>
      <c r="L78" s="1">
        <f t="shared" ref="L78:L88" si="23">+D78-H78</f>
        <v>-21902.321538461518</v>
      </c>
      <c r="M78" s="1"/>
      <c r="N78" s="5">
        <f t="shared" ref="N78:N88" si="24">IF(H78=0,0,L78/H78)</f>
        <v>-0.34646273730090676</v>
      </c>
      <c r="O78" s="14"/>
      <c r="P78" s="1">
        <f>SUM(OSRRefP22_1x_0)</f>
        <v>73608.19</v>
      </c>
      <c r="Q78" s="1"/>
      <c r="R78" s="5">
        <f t="shared" ref="R78:R88" si="25">IF(P$12=0,0,P78/P$12)</f>
        <v>0.15150732188817384</v>
      </c>
      <c r="S78" s="1"/>
      <c r="T78" s="1">
        <f>SUM(OSRRefT22_1x_0)</f>
        <v>127027.78846153847</v>
      </c>
      <c r="U78" s="1"/>
      <c r="V78" s="5">
        <f t="shared" ref="V78:V88" si="26">IF(T$12=0,0,T78/T$12)</f>
        <v>0.20988176239235745</v>
      </c>
      <c r="W78" s="1"/>
      <c r="X78" s="1">
        <f t="shared" ref="X78:X88" si="27">+P78-T78</f>
        <v>-53419.598461538466</v>
      </c>
      <c r="Y78" s="1"/>
      <c r="Z78" s="5">
        <f t="shared" ref="Z78:Z88" si="28">IF(T78=0,0,X78/T78)</f>
        <v>-0.42053474368494476</v>
      </c>
    </row>
    <row r="79" spans="1:26" s="24" customFormat="1" hidden="1" outlineLevel="2" x14ac:dyDescent="0.25">
      <c r="A79" s="27"/>
      <c r="B79" s="11" t="str">
        <f>CONCATENATE("          ", "6001", " - ", "ADMINISTRATIVE SALARIES")</f>
        <v xml:space="preserve">          6001 - ADMINISTRATIVE SALARIES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7"/>
      <c r="B80" s="11" t="str">
        <f>CONCATENATE("          ", "6002", " - ", "STAFF SALARIES")</f>
        <v xml:space="preserve">          6002 - STAFF SALARIES</v>
      </c>
      <c r="C80" s="11"/>
      <c r="D80" s="6">
        <v>18082.939999999999</v>
      </c>
      <c r="E80" s="2"/>
      <c r="F80" s="7">
        <f t="shared" si="21"/>
        <v>5.8133596417958136E-2</v>
      </c>
      <c r="G80" s="2"/>
      <c r="H80" s="6">
        <v>14052.461538461519</v>
      </c>
      <c r="I80" s="2"/>
      <c r="J80" s="7">
        <f t="shared" si="22"/>
        <v>3.7444872519109579E-2</v>
      </c>
      <c r="K80" s="2"/>
      <c r="L80" s="6">
        <f t="shared" si="23"/>
        <v>4030.4784615384797</v>
      </c>
      <c r="M80" s="2"/>
      <c r="N80" s="7">
        <f t="shared" si="24"/>
        <v>0.28681654459662315</v>
      </c>
      <c r="O80" s="11"/>
      <c r="P80" s="6">
        <v>40173.340000000004</v>
      </c>
      <c r="Q80" s="2"/>
      <c r="R80" s="7">
        <f t="shared" si="25"/>
        <v>8.2688558904967652E-2</v>
      </c>
      <c r="S80" s="2"/>
      <c r="T80" s="6">
        <v>31618.038461538468</v>
      </c>
      <c r="U80" s="2"/>
      <c r="V80" s="7">
        <f t="shared" si="26"/>
        <v>5.2240928666614568E-2</v>
      </c>
      <c r="W80" s="2"/>
      <c r="X80" s="6">
        <f t="shared" si="27"/>
        <v>8555.3015384615355</v>
      </c>
      <c r="Y80" s="2"/>
      <c r="Z80" s="7">
        <f t="shared" si="28"/>
        <v>0.27058293160306479</v>
      </c>
    </row>
    <row r="81" spans="1:26" s="24" customFormat="1" hidden="1" outlineLevel="2" x14ac:dyDescent="0.25">
      <c r="A81" s="27"/>
      <c r="B81" s="11" t="str">
        <f>CONCATENATE("          ", "6003", " - ", "STAFF HOURLY-9 MONTH")</f>
        <v xml:space="preserve">          6003 - STAFF HOURLY-9 MONTH</v>
      </c>
      <c r="C81" s="11"/>
      <c r="D81" s="6"/>
      <c r="E81" s="2"/>
      <c r="F81" s="7">
        <f t="shared" si="21"/>
        <v>0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0</v>
      </c>
      <c r="M81" s="2"/>
      <c r="N81" s="7">
        <f t="shared" si="24"/>
        <v>0</v>
      </c>
      <c r="O81" s="11"/>
      <c r="P81" s="6"/>
      <c r="Q81" s="2"/>
      <c r="R81" s="7">
        <f t="shared" si="25"/>
        <v>0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0</v>
      </c>
      <c r="Y81" s="2"/>
      <c r="Z81" s="7">
        <f t="shared" si="28"/>
        <v>0</v>
      </c>
    </row>
    <row r="82" spans="1:26" s="24" customFormat="1" hidden="1" outlineLevel="2" x14ac:dyDescent="0.25">
      <c r="A82" s="27"/>
      <c r="B82" s="11" t="str">
        <f>CONCATENATE("          ", "6004", " - ", "STAFF HOURLY")</f>
        <v xml:space="preserve">          6004 - STAFF HOURLY</v>
      </c>
      <c r="C82" s="11"/>
      <c r="D82" s="6">
        <v>7211.23</v>
      </c>
      <c r="E82" s="2"/>
      <c r="F82" s="7">
        <f t="shared" si="21"/>
        <v>2.3182885885650911E-2</v>
      </c>
      <c r="G82" s="2"/>
      <c r="H82" s="6">
        <v>6657</v>
      </c>
      <c r="I82" s="2"/>
      <c r="J82" s="7">
        <f t="shared" si="22"/>
        <v>1.7738565992688204E-2</v>
      </c>
      <c r="K82" s="2"/>
      <c r="L82" s="6">
        <f t="shared" si="23"/>
        <v>554.22999999999956</v>
      </c>
      <c r="M82" s="2"/>
      <c r="N82" s="7">
        <f t="shared" si="24"/>
        <v>8.3255220069100133E-2</v>
      </c>
      <c r="O82" s="11"/>
      <c r="P82" s="6">
        <v>13950.95</v>
      </c>
      <c r="Q82" s="2"/>
      <c r="R82" s="7">
        <f t="shared" si="25"/>
        <v>2.8715161618507654E-2</v>
      </c>
      <c r="S82" s="2"/>
      <c r="T82" s="6">
        <v>14978.249999999998</v>
      </c>
      <c r="U82" s="2"/>
      <c r="V82" s="7">
        <f t="shared" si="26"/>
        <v>2.4747825224912635E-2</v>
      </c>
      <c r="W82" s="2"/>
      <c r="X82" s="6">
        <f t="shared" si="27"/>
        <v>-1027.2999999999975</v>
      </c>
      <c r="Y82" s="2"/>
      <c r="Z82" s="7">
        <f t="shared" si="28"/>
        <v>-6.8586116535643185E-2</v>
      </c>
    </row>
    <row r="83" spans="1:26" s="24" customFormat="1" hidden="1" outlineLevel="2" x14ac:dyDescent="0.25">
      <c r="A83" s="27"/>
      <c r="B83" s="11" t="str">
        <f>CONCATENATE("          ", "6005", " - ", "TEMPORARY WAGES-HOURLY")</f>
        <v xml:space="preserve">          6005 - TEMPORARY WAGES-HOURLY</v>
      </c>
      <c r="C83" s="11"/>
      <c r="D83" s="6">
        <v>4486.28</v>
      </c>
      <c r="E83" s="2"/>
      <c r="F83" s="7">
        <f t="shared" si="21"/>
        <v>1.4422632101746576E-2</v>
      </c>
      <c r="G83" s="2"/>
      <c r="H83" s="6">
        <v>0</v>
      </c>
      <c r="I83" s="2"/>
      <c r="J83" s="7">
        <f t="shared" si="22"/>
        <v>0</v>
      </c>
      <c r="K83" s="2"/>
      <c r="L83" s="6">
        <f t="shared" si="23"/>
        <v>4486.28</v>
      </c>
      <c r="M83" s="2"/>
      <c r="N83" s="7">
        <f t="shared" si="24"/>
        <v>0</v>
      </c>
      <c r="O83" s="11"/>
      <c r="P83" s="6">
        <v>6423.71</v>
      </c>
      <c r="Q83" s="2"/>
      <c r="R83" s="7">
        <f t="shared" si="25"/>
        <v>1.322188602499642E-2</v>
      </c>
      <c r="S83" s="2"/>
      <c r="T83" s="6">
        <v>0</v>
      </c>
      <c r="U83" s="2"/>
      <c r="V83" s="7">
        <f t="shared" si="26"/>
        <v>0</v>
      </c>
      <c r="W83" s="2"/>
      <c r="X83" s="6">
        <f t="shared" si="27"/>
        <v>6423.71</v>
      </c>
      <c r="Y83" s="2"/>
      <c r="Z83" s="7">
        <f t="shared" si="28"/>
        <v>0</v>
      </c>
    </row>
    <row r="84" spans="1:26" s="24" customFormat="1" hidden="1" outlineLevel="2" x14ac:dyDescent="0.25">
      <c r="A84" s="27"/>
      <c r="B84" s="11" t="str">
        <f>CONCATENATE("          ", "6006", " - ", "TEMPORARY PART TIME")</f>
        <v xml:space="preserve">          6006 - TEMPORARY PART TIME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7"/>
      <c r="B85" s="11" t="str">
        <f>CONCATENATE("          ", "6007", " - ", "STUDENT HOURLY")</f>
        <v xml:space="preserve">          6007 - STUDENT HOURLY</v>
      </c>
      <c r="C85" s="11"/>
      <c r="D85" s="6">
        <v>11101.16</v>
      </c>
      <c r="E85" s="2"/>
      <c r="F85" s="7">
        <f t="shared" si="21"/>
        <v>3.5688353509505652E-2</v>
      </c>
      <c r="G85" s="2"/>
      <c r="H85" s="6">
        <v>42507.5</v>
      </c>
      <c r="I85" s="2"/>
      <c r="J85" s="7">
        <f t="shared" si="22"/>
        <v>0.11326755204058793</v>
      </c>
      <c r="K85" s="2"/>
      <c r="L85" s="6">
        <f t="shared" si="23"/>
        <v>-31406.34</v>
      </c>
      <c r="M85" s="2"/>
      <c r="N85" s="7">
        <f t="shared" si="24"/>
        <v>-0.73884232194318655</v>
      </c>
      <c r="O85" s="11"/>
      <c r="P85" s="6">
        <v>12627.16</v>
      </c>
      <c r="Q85" s="2"/>
      <c r="R85" s="7">
        <f t="shared" si="25"/>
        <v>2.5990412135571777E-2</v>
      </c>
      <c r="S85" s="2"/>
      <c r="T85" s="6">
        <v>80431.5</v>
      </c>
      <c r="U85" s="2"/>
      <c r="V85" s="7">
        <f t="shared" si="26"/>
        <v>0.13289300850083025</v>
      </c>
      <c r="W85" s="2"/>
      <c r="X85" s="6">
        <f t="shared" si="27"/>
        <v>-67804.34</v>
      </c>
      <c r="Y85" s="2"/>
      <c r="Z85" s="7">
        <f t="shared" si="28"/>
        <v>-0.84300727948627086</v>
      </c>
    </row>
    <row r="86" spans="1:26" s="24" customFormat="1" hidden="1" outlineLevel="2" x14ac:dyDescent="0.25">
      <c r="A86" s="27"/>
      <c r="B86" s="11" t="str">
        <f>CONCATENATE("          ", "6008", " - ", "STUDENT HOURLY-FICA EXEMPT")</f>
        <v xml:space="preserve">          6008 - STUDENT HOURLY-FICA EXEMPT</v>
      </c>
      <c r="C86" s="11"/>
      <c r="D86" s="6">
        <v>433.03</v>
      </c>
      <c r="E86" s="2"/>
      <c r="F86" s="7">
        <f t="shared" si="21"/>
        <v>1.3921182759478498E-3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433.03</v>
      </c>
      <c r="M86" s="2"/>
      <c r="N86" s="7">
        <f t="shared" si="24"/>
        <v>0</v>
      </c>
      <c r="O86" s="11"/>
      <c r="P86" s="6">
        <v>433.03</v>
      </c>
      <c r="Q86" s="2"/>
      <c r="R86" s="7">
        <f t="shared" si="25"/>
        <v>8.9130320413035441E-4</v>
      </c>
      <c r="S86" s="2"/>
      <c r="T86" s="6">
        <v>0</v>
      </c>
      <c r="U86" s="2"/>
      <c r="V86" s="7">
        <f t="shared" si="26"/>
        <v>0</v>
      </c>
      <c r="W86" s="2"/>
      <c r="X86" s="6">
        <f t="shared" si="27"/>
        <v>433.03</v>
      </c>
      <c r="Y86" s="2"/>
      <c r="Z86" s="7">
        <f t="shared" si="28"/>
        <v>0</v>
      </c>
    </row>
    <row r="87" spans="1:26" s="24" customFormat="1" hidden="1" outlineLevel="2" x14ac:dyDescent="0.25">
      <c r="A87" s="27"/>
      <c r="B87" s="11" t="str">
        <f>CONCATENATE("          ", "6009", " - ", "TEMPORARY-SEASONAL")</f>
        <v xml:space="preserve">          6009 - TEMPORARY-SEASONAL</v>
      </c>
      <c r="C87" s="11"/>
      <c r="D87" s="6"/>
      <c r="E87" s="2"/>
      <c r="F87" s="7">
        <f t="shared" si="21"/>
        <v>0</v>
      </c>
      <c r="G87" s="2"/>
      <c r="H87" s="6">
        <v>0</v>
      </c>
      <c r="I87" s="2"/>
      <c r="J87" s="7">
        <f t="shared" si="22"/>
        <v>0</v>
      </c>
      <c r="K87" s="2"/>
      <c r="L87" s="6">
        <f t="shared" si="23"/>
        <v>0</v>
      </c>
      <c r="M87" s="2"/>
      <c r="N87" s="7">
        <f t="shared" si="24"/>
        <v>0</v>
      </c>
      <c r="O87" s="11"/>
      <c r="P87" s="6"/>
      <c r="Q87" s="2"/>
      <c r="R87" s="7">
        <f t="shared" si="25"/>
        <v>0</v>
      </c>
      <c r="S87" s="2"/>
      <c r="T87" s="6">
        <v>0</v>
      </c>
      <c r="U87" s="2"/>
      <c r="V87" s="7">
        <f t="shared" si="26"/>
        <v>0</v>
      </c>
      <c r="W87" s="2"/>
      <c r="X87" s="6">
        <f t="shared" si="27"/>
        <v>0</v>
      </c>
      <c r="Y87" s="2"/>
      <c r="Z87" s="7">
        <f t="shared" si="28"/>
        <v>0</v>
      </c>
    </row>
    <row r="88" spans="1:26" s="24" customFormat="1" hidden="1" outlineLevel="2" x14ac:dyDescent="0.25">
      <c r="A88" s="27"/>
      <c r="B88" s="11" t="str">
        <f>CONCATENATE("          ", "6010", " - ", "GRATUITY")</f>
        <v xml:space="preserve">          6010 - GRATUITY</v>
      </c>
      <c r="C88" s="11"/>
      <c r="D88" s="6"/>
      <c r="E88" s="2"/>
      <c r="F88" s="7">
        <f t="shared" si="21"/>
        <v>0</v>
      </c>
      <c r="G88" s="2"/>
      <c r="H88" s="6">
        <v>0</v>
      </c>
      <c r="I88" s="2"/>
      <c r="J88" s="7">
        <f t="shared" si="22"/>
        <v>0</v>
      </c>
      <c r="K88" s="2"/>
      <c r="L88" s="6">
        <f t="shared" si="23"/>
        <v>0</v>
      </c>
      <c r="M88" s="2"/>
      <c r="N88" s="7">
        <f t="shared" si="24"/>
        <v>0</v>
      </c>
      <c r="O88" s="11"/>
      <c r="P88" s="6"/>
      <c r="Q88" s="2"/>
      <c r="R88" s="7">
        <f t="shared" si="25"/>
        <v>0</v>
      </c>
      <c r="S88" s="2"/>
      <c r="T88" s="6">
        <v>0</v>
      </c>
      <c r="U88" s="2"/>
      <c r="V88" s="7">
        <f t="shared" si="26"/>
        <v>0</v>
      </c>
      <c r="W88" s="2"/>
      <c r="X88" s="6">
        <f t="shared" si="27"/>
        <v>0</v>
      </c>
      <c r="Y88" s="2"/>
      <c r="Z88" s="7">
        <f t="shared" si="28"/>
        <v>0</v>
      </c>
    </row>
    <row r="89" spans="1:26" s="29" customFormat="1" outlineLevel="1" collapsed="1" x14ac:dyDescent="0.25">
      <c r="A89" s="28"/>
      <c r="B89" s="14" t="str">
        <f>CONCATENATE("     ","Advertising/Promo                                 ")</f>
        <v xml:space="preserve">     Advertising/Promo                                 </v>
      </c>
      <c r="C89" s="14"/>
      <c r="D89" s="1">
        <f>SUM(OSRRefD22_2x_0)</f>
        <v>9301.39</v>
      </c>
      <c r="E89" s="1"/>
      <c r="F89" s="5">
        <f t="shared" ref="F89:F103" si="29">IF(D$12=0,0,D89/D$12)</f>
        <v>2.9902397087311666E-2</v>
      </c>
      <c r="G89" s="1"/>
      <c r="H89" s="1">
        <f>SUM(OSRRefH22_2x_0)</f>
        <v>630</v>
      </c>
      <c r="I89" s="1"/>
      <c r="J89" s="5">
        <f t="shared" ref="J89:J103" si="30">IF(H$12=0,0,H89/H$12)</f>
        <v>1.6787286428411549E-3</v>
      </c>
      <c r="K89" s="1"/>
      <c r="L89" s="1">
        <f t="shared" ref="L89:L103" si="31">+D89-H89</f>
        <v>8671.39</v>
      </c>
      <c r="M89" s="1"/>
      <c r="N89" s="5">
        <f t="shared" ref="N89:N103" si="32">IF(H89=0,0,L89/H89)</f>
        <v>13.764111111111109</v>
      </c>
      <c r="O89" s="14"/>
      <c r="P89" s="1">
        <f>SUM(OSRRefP22_2x_0)</f>
        <v>10642.32</v>
      </c>
      <c r="Q89" s="1"/>
      <c r="R89" s="5">
        <f t="shared" ref="R89:R103" si="33">IF(P$12=0,0,P89/P$12)</f>
        <v>2.1905027169897132E-2</v>
      </c>
      <c r="S89" s="1"/>
      <c r="T89" s="1">
        <f>SUM(OSRRefT22_2x_0)</f>
        <v>1260</v>
      </c>
      <c r="U89" s="1"/>
      <c r="V89" s="5">
        <f t="shared" ref="V89:V103" si="34">IF(T$12=0,0,T89/T$12)</f>
        <v>2.0818359810652063E-3</v>
      </c>
      <c r="W89" s="1"/>
      <c r="X89" s="1">
        <f t="shared" ref="X89:X103" si="35">+P89-T89</f>
        <v>9382.32</v>
      </c>
      <c r="Y89" s="1"/>
      <c r="Z89" s="5">
        <f t="shared" ref="Z89:Z103" si="36">IF(T89=0,0,X89/T89)</f>
        <v>7.4462857142857137</v>
      </c>
    </row>
    <row r="90" spans="1:26" s="24" customFormat="1" hidden="1" outlineLevel="2" x14ac:dyDescent="0.25">
      <c r="A90" s="27"/>
      <c r="B90" s="11" t="str">
        <f>CONCATENATE("          ", "6362", " - ", "ADVERTISING EXPENSE")</f>
        <v xml:space="preserve">          6362 - ADVERTISING EXPENSE</v>
      </c>
      <c r="C90" s="11"/>
      <c r="D90" s="6">
        <v>9301.39</v>
      </c>
      <c r="E90" s="2"/>
      <c r="F90" s="7">
        <f t="shared" si="29"/>
        <v>2.9902397087311666E-2</v>
      </c>
      <c r="G90" s="2"/>
      <c r="H90" s="6">
        <v>630</v>
      </c>
      <c r="I90" s="2"/>
      <c r="J90" s="7">
        <f t="shared" si="30"/>
        <v>1.6787286428411549E-3</v>
      </c>
      <c r="K90" s="2"/>
      <c r="L90" s="6">
        <f t="shared" si="31"/>
        <v>8671.39</v>
      </c>
      <c r="M90" s="2"/>
      <c r="N90" s="7">
        <f t="shared" si="32"/>
        <v>13.764111111111109</v>
      </c>
      <c r="O90" s="11"/>
      <c r="P90" s="6">
        <v>10642.32</v>
      </c>
      <c r="Q90" s="2"/>
      <c r="R90" s="7">
        <f t="shared" si="33"/>
        <v>2.1905027169897132E-2</v>
      </c>
      <c r="S90" s="2"/>
      <c r="T90" s="6">
        <v>1260</v>
      </c>
      <c r="U90" s="2"/>
      <c r="V90" s="7">
        <f t="shared" si="34"/>
        <v>2.0818359810652063E-3</v>
      </c>
      <c r="W90" s="2"/>
      <c r="X90" s="6">
        <f t="shared" si="35"/>
        <v>9382.32</v>
      </c>
      <c r="Y90" s="2"/>
      <c r="Z90" s="7">
        <f t="shared" si="36"/>
        <v>7.4462857142857137</v>
      </c>
    </row>
    <row r="91" spans="1:26" s="29" customFormat="1" outlineLevel="1" collapsed="1" x14ac:dyDescent="0.25">
      <c r="A91" s="28"/>
      <c r="B91" s="14" t="str">
        <f>CONCATENATE("     ","Bad Debts/Over/Short                              ")</f>
        <v xml:space="preserve">     Bad Debts/Over/Short                              </v>
      </c>
      <c r="C91" s="14"/>
      <c r="D91" s="1">
        <f>SUM(OSRRefD22_3x_0)</f>
        <v>4.5599999999999996</v>
      </c>
      <c r="E91" s="1"/>
      <c r="F91" s="5">
        <f t="shared" si="29"/>
        <v>1.4659629444431552E-5</v>
      </c>
      <c r="G91" s="1"/>
      <c r="H91" s="1">
        <f>SUM(OSRRefH22_3x_0)</f>
        <v>10</v>
      </c>
      <c r="I91" s="1"/>
      <c r="J91" s="5">
        <f t="shared" si="30"/>
        <v>2.6646486394304047E-5</v>
      </c>
      <c r="K91" s="1"/>
      <c r="L91" s="1">
        <f t="shared" si="31"/>
        <v>-5.44</v>
      </c>
      <c r="M91" s="1"/>
      <c r="N91" s="5">
        <f t="shared" si="32"/>
        <v>-0.54400000000000004</v>
      </c>
      <c r="O91" s="14"/>
      <c r="P91" s="1">
        <f>SUM(OSRRefP22_3x_0)</f>
        <v>3.66</v>
      </c>
      <c r="Q91" s="1"/>
      <c r="R91" s="5">
        <f t="shared" si="33"/>
        <v>7.5333573357898935E-6</v>
      </c>
      <c r="S91" s="1"/>
      <c r="T91" s="1">
        <f>SUM(OSRRefT22_3x_0)</f>
        <v>20</v>
      </c>
      <c r="U91" s="1"/>
      <c r="V91" s="5">
        <f t="shared" si="34"/>
        <v>3.3045015572463586E-5</v>
      </c>
      <c r="W91" s="1"/>
      <c r="X91" s="1">
        <f t="shared" si="35"/>
        <v>-16.34</v>
      </c>
      <c r="Y91" s="1"/>
      <c r="Z91" s="5">
        <f t="shared" si="36"/>
        <v>-0.81699999999999995</v>
      </c>
    </row>
    <row r="92" spans="1:26" s="24" customFormat="1" hidden="1" outlineLevel="2" x14ac:dyDescent="0.25">
      <c r="A92" s="27"/>
      <c r="B92" s="11" t="str">
        <f>CONCATENATE("          ", "6272", " - ", "CASH (OVER/SHORT)")</f>
        <v xml:space="preserve">          6272 - CASH (OVER/SHORT)</v>
      </c>
      <c r="C92" s="11"/>
      <c r="D92" s="6">
        <v>4.5599999999999996</v>
      </c>
      <c r="E92" s="2"/>
      <c r="F92" s="7">
        <f t="shared" si="29"/>
        <v>1.4659629444431552E-5</v>
      </c>
      <c r="G92" s="2"/>
      <c r="H92" s="6">
        <v>10</v>
      </c>
      <c r="I92" s="2"/>
      <c r="J92" s="7">
        <f t="shared" si="30"/>
        <v>2.6646486394304047E-5</v>
      </c>
      <c r="K92" s="2"/>
      <c r="L92" s="6">
        <f t="shared" si="31"/>
        <v>-5.44</v>
      </c>
      <c r="M92" s="2"/>
      <c r="N92" s="7">
        <f t="shared" si="32"/>
        <v>-0.54400000000000004</v>
      </c>
      <c r="O92" s="11"/>
      <c r="P92" s="6">
        <v>3.66</v>
      </c>
      <c r="Q92" s="2"/>
      <c r="R92" s="7">
        <f t="shared" si="33"/>
        <v>7.5333573357898935E-6</v>
      </c>
      <c r="S92" s="2"/>
      <c r="T92" s="6">
        <v>20</v>
      </c>
      <c r="U92" s="2"/>
      <c r="V92" s="7">
        <f t="shared" si="34"/>
        <v>3.3045015572463586E-5</v>
      </c>
      <c r="W92" s="2"/>
      <c r="X92" s="6">
        <f t="shared" si="35"/>
        <v>-16.34</v>
      </c>
      <c r="Y92" s="2"/>
      <c r="Z92" s="7">
        <f t="shared" si="36"/>
        <v>-0.81699999999999995</v>
      </c>
    </row>
    <row r="93" spans="1:26" s="29" customFormat="1" outlineLevel="1" collapsed="1" x14ac:dyDescent="0.25">
      <c r="A93" s="28"/>
      <c r="B93" s="14" t="str">
        <f>CONCATENATE("     ","Bank/card Fees                                    ")</f>
        <v xml:space="preserve">     Bank/card Fees                                    </v>
      </c>
      <c r="C93" s="14"/>
      <c r="D93" s="1">
        <f>SUM(OSRRefD22_4x_0)</f>
        <v>452.83</v>
      </c>
      <c r="E93" s="1"/>
      <c r="F93" s="5">
        <f t="shared" si="29"/>
        <v>1.4557719301144605E-3</v>
      </c>
      <c r="G93" s="1"/>
      <c r="H93" s="1">
        <f>SUM(OSRRefH22_4x_0)</f>
        <v>626</v>
      </c>
      <c r="I93" s="1"/>
      <c r="J93" s="5">
        <f t="shared" si="30"/>
        <v>1.6680700482834333E-3</v>
      </c>
      <c r="K93" s="1"/>
      <c r="L93" s="1">
        <f t="shared" si="31"/>
        <v>-173.17000000000002</v>
      </c>
      <c r="M93" s="1"/>
      <c r="N93" s="5">
        <f t="shared" si="32"/>
        <v>-0.27662939297124606</v>
      </c>
      <c r="O93" s="14"/>
      <c r="P93" s="1">
        <f>SUM(OSRRefP22_4x_0)</f>
        <v>759.72</v>
      </c>
      <c r="Q93" s="1"/>
      <c r="R93" s="5">
        <f t="shared" si="33"/>
        <v>1.5637273866519941E-3</v>
      </c>
      <c r="S93" s="1"/>
      <c r="T93" s="1">
        <f>SUM(OSRRefT22_4x_0)</f>
        <v>1226</v>
      </c>
      <c r="U93" s="1"/>
      <c r="V93" s="5">
        <f t="shared" si="34"/>
        <v>2.0256594545920181E-3</v>
      </c>
      <c r="W93" s="1"/>
      <c r="X93" s="1">
        <f t="shared" si="35"/>
        <v>-466.28</v>
      </c>
      <c r="Y93" s="1"/>
      <c r="Z93" s="5">
        <f t="shared" si="36"/>
        <v>-0.38032626427406196</v>
      </c>
    </row>
    <row r="94" spans="1:26" s="24" customFormat="1" hidden="1" outlineLevel="2" x14ac:dyDescent="0.25">
      <c r="A94" s="27"/>
      <c r="B94" s="11" t="str">
        <f>CONCATENATE("          ", "6381", " - ", "BANK/CREDIT CARD FEES")</f>
        <v xml:space="preserve">          6381 - BANK/CREDIT CARD FEES</v>
      </c>
      <c r="C94" s="11"/>
      <c r="D94" s="6">
        <v>452.83</v>
      </c>
      <c r="E94" s="2"/>
      <c r="F94" s="7">
        <f t="shared" si="29"/>
        <v>1.4557719301144605E-3</v>
      </c>
      <c r="G94" s="2"/>
      <c r="H94" s="6">
        <v>626</v>
      </c>
      <c r="I94" s="2"/>
      <c r="J94" s="7">
        <f t="shared" si="30"/>
        <v>1.6680700482834333E-3</v>
      </c>
      <c r="K94" s="2"/>
      <c r="L94" s="6">
        <f t="shared" si="31"/>
        <v>-173.17000000000002</v>
      </c>
      <c r="M94" s="2"/>
      <c r="N94" s="7">
        <f t="shared" si="32"/>
        <v>-0.27662939297124606</v>
      </c>
      <c r="O94" s="11"/>
      <c r="P94" s="6">
        <v>759.72</v>
      </c>
      <c r="Q94" s="2"/>
      <c r="R94" s="7">
        <f t="shared" si="33"/>
        <v>1.5637273866519941E-3</v>
      </c>
      <c r="S94" s="2"/>
      <c r="T94" s="6">
        <v>1226</v>
      </c>
      <c r="U94" s="2"/>
      <c r="V94" s="7">
        <f t="shared" si="34"/>
        <v>2.0256594545920181E-3</v>
      </c>
      <c r="W94" s="2"/>
      <c r="X94" s="6">
        <f t="shared" si="35"/>
        <v>-466.28</v>
      </c>
      <c r="Y94" s="2"/>
      <c r="Z94" s="7">
        <f t="shared" si="36"/>
        <v>-0.38032626427406196</v>
      </c>
    </row>
    <row r="95" spans="1:26" s="29" customFormat="1" outlineLevel="1" collapsed="1" x14ac:dyDescent="0.25">
      <c r="A95" s="28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SUM(OSRRefD22_5x_0)</f>
        <v>0</v>
      </c>
      <c r="E95" s="1"/>
      <c r="F95" s="5">
        <f t="shared" si="29"/>
        <v>0</v>
      </c>
      <c r="G95" s="1"/>
      <c r="H95" s="1">
        <f>SUM(OSRRefH22_5x_0)</f>
        <v>29798</v>
      </c>
      <c r="I95" s="1"/>
      <c r="J95" s="5">
        <f t="shared" si="30"/>
        <v>7.9401200157747195E-2</v>
      </c>
      <c r="K95" s="1"/>
      <c r="L95" s="1">
        <f t="shared" si="31"/>
        <v>-29798</v>
      </c>
      <c r="M95" s="1"/>
      <c r="N95" s="5">
        <f t="shared" si="32"/>
        <v>-1</v>
      </c>
      <c r="O95" s="14"/>
      <c r="P95" s="1">
        <f>SUM(OSRRefP22_5x_0)</f>
        <v>0</v>
      </c>
      <c r="Q95" s="1"/>
      <c r="R95" s="5">
        <f t="shared" si="33"/>
        <v>0</v>
      </c>
      <c r="S95" s="1"/>
      <c r="T95" s="1">
        <f>SUM(OSRRefT22_5x_0)</f>
        <v>48267</v>
      </c>
      <c r="U95" s="1"/>
      <c r="V95" s="5">
        <f t="shared" si="34"/>
        <v>7.9749188331804999E-2</v>
      </c>
      <c r="W95" s="1"/>
      <c r="X95" s="1">
        <f t="shared" si="35"/>
        <v>-48267</v>
      </c>
      <c r="Y95" s="1"/>
      <c r="Z95" s="5">
        <f t="shared" si="36"/>
        <v>-1</v>
      </c>
    </row>
    <row r="96" spans="1:26" s="24" customFormat="1" hidden="1" outlineLevel="2" x14ac:dyDescent="0.25">
      <c r="A96" s="27"/>
      <c r="B96" s="11" t="str">
        <f>CONCATENATE("          ", "6382", " - ", "DISCOUNTS/MARK DOWNS")</f>
        <v xml:space="preserve">          6382 - DISCOUNTS/MARK DOWNS</v>
      </c>
      <c r="C96" s="11"/>
      <c r="D96" s="6"/>
      <c r="E96" s="2"/>
      <c r="F96" s="7">
        <f t="shared" si="29"/>
        <v>0</v>
      </c>
      <c r="G96" s="2"/>
      <c r="H96" s="6">
        <v>29798</v>
      </c>
      <c r="I96" s="2"/>
      <c r="J96" s="7">
        <f t="shared" si="30"/>
        <v>7.9401200157747195E-2</v>
      </c>
      <c r="K96" s="2"/>
      <c r="L96" s="6">
        <f t="shared" si="31"/>
        <v>-29798</v>
      </c>
      <c r="M96" s="2"/>
      <c r="N96" s="7">
        <f t="shared" si="32"/>
        <v>-1</v>
      </c>
      <c r="O96" s="11"/>
      <c r="P96" s="6"/>
      <c r="Q96" s="2"/>
      <c r="R96" s="7">
        <f t="shared" si="33"/>
        <v>0</v>
      </c>
      <c r="S96" s="2"/>
      <c r="T96" s="6">
        <v>48267</v>
      </c>
      <c r="U96" s="2"/>
      <c r="V96" s="7">
        <f t="shared" si="34"/>
        <v>7.9749188331804999E-2</v>
      </c>
      <c r="W96" s="2"/>
      <c r="X96" s="6">
        <f t="shared" si="35"/>
        <v>-48267</v>
      </c>
      <c r="Y96" s="2"/>
      <c r="Z96" s="7">
        <f t="shared" si="36"/>
        <v>-1</v>
      </c>
    </row>
    <row r="97" spans="1:26" s="29" customFormat="1" outlineLevel="1" collapsed="1" x14ac:dyDescent="0.25">
      <c r="A97" s="28"/>
      <c r="B97" s="14" t="str">
        <f>CONCATENATE("     ","Donations                                         ")</f>
        <v xml:space="preserve">     Donations                                         </v>
      </c>
      <c r="C97" s="14"/>
      <c r="D97" s="1">
        <f>SUM(OSRRefD22_6x_0)</f>
        <v>0</v>
      </c>
      <c r="E97" s="1"/>
      <c r="F97" s="5">
        <f t="shared" si="29"/>
        <v>0</v>
      </c>
      <c r="G97" s="1"/>
      <c r="H97" s="1">
        <f>SUM(OSRRefH22_6x_0)</f>
        <v>0</v>
      </c>
      <c r="I97" s="1"/>
      <c r="J97" s="5">
        <f t="shared" si="30"/>
        <v>0</v>
      </c>
      <c r="K97" s="1"/>
      <c r="L97" s="1">
        <f t="shared" si="31"/>
        <v>0</v>
      </c>
      <c r="M97" s="1"/>
      <c r="N97" s="5">
        <f t="shared" si="32"/>
        <v>0</v>
      </c>
      <c r="O97" s="14"/>
      <c r="P97" s="1">
        <f>SUM(OSRRefP22_6x_0)</f>
        <v>0</v>
      </c>
      <c r="Q97" s="1"/>
      <c r="R97" s="5">
        <f t="shared" si="33"/>
        <v>0</v>
      </c>
      <c r="S97" s="1"/>
      <c r="T97" s="1">
        <f>SUM(OSRRefT22_6x_0)</f>
        <v>0</v>
      </c>
      <c r="U97" s="1"/>
      <c r="V97" s="5">
        <f t="shared" si="34"/>
        <v>0</v>
      </c>
      <c r="W97" s="1"/>
      <c r="X97" s="1">
        <f t="shared" si="35"/>
        <v>0</v>
      </c>
      <c r="Y97" s="1"/>
      <c r="Z97" s="5">
        <f t="shared" si="36"/>
        <v>0</v>
      </c>
    </row>
    <row r="98" spans="1:26" s="24" customFormat="1" hidden="1" outlineLevel="2" x14ac:dyDescent="0.25">
      <c r="A98" s="27"/>
      <c r="B98" s="11" t="str">
        <f>CONCATENATE("          ", "6395", " - ", "DONATION-OFF CAMPUS")</f>
        <v xml:space="preserve">          6395 - DONATION-OFF CAMPUS</v>
      </c>
      <c r="C98" s="11"/>
      <c r="D98" s="6"/>
      <c r="E98" s="2"/>
      <c r="F98" s="7">
        <f t="shared" si="29"/>
        <v>0</v>
      </c>
      <c r="G98" s="2"/>
      <c r="H98" s="6"/>
      <c r="I98" s="2"/>
      <c r="J98" s="7">
        <f t="shared" si="30"/>
        <v>0</v>
      </c>
      <c r="K98" s="2"/>
      <c r="L98" s="6">
        <f t="shared" si="31"/>
        <v>0</v>
      </c>
      <c r="M98" s="2"/>
      <c r="N98" s="7">
        <f t="shared" si="32"/>
        <v>0</v>
      </c>
      <c r="O98" s="11"/>
      <c r="P98" s="6"/>
      <c r="Q98" s="2"/>
      <c r="R98" s="7">
        <f t="shared" si="33"/>
        <v>0</v>
      </c>
      <c r="S98" s="2"/>
      <c r="T98" s="6">
        <v>0</v>
      </c>
      <c r="U98" s="2"/>
      <c r="V98" s="7">
        <f t="shared" si="34"/>
        <v>0</v>
      </c>
      <c r="W98" s="2"/>
      <c r="X98" s="6">
        <f t="shared" si="35"/>
        <v>0</v>
      </c>
      <c r="Y98" s="2"/>
      <c r="Z98" s="7">
        <f t="shared" si="36"/>
        <v>0</v>
      </c>
    </row>
    <row r="99" spans="1:26" s="29" customFormat="1" outlineLevel="1" collapsed="1" x14ac:dyDescent="0.25">
      <c r="A99" s="28"/>
      <c r="B99" s="14" t="str">
        <f>CONCATENATE("     ","Employees' Appreciation                           ")</f>
        <v xml:space="preserve">     Employees' Appreciation                           </v>
      </c>
      <c r="C99" s="14"/>
      <c r="D99" s="1">
        <f>SUM(OSRRefD22_7x_0)</f>
        <v>0</v>
      </c>
      <c r="E99" s="1"/>
      <c r="F99" s="5">
        <f t="shared" si="29"/>
        <v>0</v>
      </c>
      <c r="G99" s="1"/>
      <c r="H99" s="1">
        <f>SUM(OSRRefH22_7x_0)</f>
        <v>200</v>
      </c>
      <c r="I99" s="1"/>
      <c r="J99" s="5">
        <f t="shared" si="30"/>
        <v>5.3292972788608096E-4</v>
      </c>
      <c r="K99" s="1"/>
      <c r="L99" s="1">
        <f t="shared" si="31"/>
        <v>-200</v>
      </c>
      <c r="M99" s="1"/>
      <c r="N99" s="5">
        <f t="shared" si="32"/>
        <v>-1</v>
      </c>
      <c r="O99" s="14"/>
      <c r="P99" s="1">
        <f>SUM(OSRRefP22_7x_0)</f>
        <v>0</v>
      </c>
      <c r="Q99" s="1"/>
      <c r="R99" s="5">
        <f t="shared" si="33"/>
        <v>0</v>
      </c>
      <c r="S99" s="1"/>
      <c r="T99" s="1">
        <f>SUM(OSRRefT22_7x_0)</f>
        <v>400</v>
      </c>
      <c r="U99" s="1"/>
      <c r="V99" s="5">
        <f t="shared" si="34"/>
        <v>6.6090031144927172E-4</v>
      </c>
      <c r="W99" s="1"/>
      <c r="X99" s="1">
        <f t="shared" si="35"/>
        <v>-400</v>
      </c>
      <c r="Y99" s="1"/>
      <c r="Z99" s="5">
        <f t="shared" si="36"/>
        <v>-1</v>
      </c>
    </row>
    <row r="100" spans="1:26" s="24" customFormat="1" hidden="1" outlineLevel="2" x14ac:dyDescent="0.25">
      <c r="A100" s="27"/>
      <c r="B100" s="11" t="str">
        <f>CONCATENATE("          ", "6277", " - ", "EMPLOYEE APPRECIATION")</f>
        <v xml:space="preserve">          6277 - EMPLOYEE APPRECIATION</v>
      </c>
      <c r="C100" s="11"/>
      <c r="D100" s="6"/>
      <c r="E100" s="2"/>
      <c r="F100" s="7">
        <f t="shared" si="29"/>
        <v>0</v>
      </c>
      <c r="G100" s="2"/>
      <c r="H100" s="6">
        <v>200</v>
      </c>
      <c r="I100" s="2"/>
      <c r="J100" s="7">
        <f t="shared" si="30"/>
        <v>5.3292972788608096E-4</v>
      </c>
      <c r="K100" s="2"/>
      <c r="L100" s="6">
        <f t="shared" si="31"/>
        <v>-200</v>
      </c>
      <c r="M100" s="2"/>
      <c r="N100" s="7">
        <f t="shared" si="32"/>
        <v>-1</v>
      </c>
      <c r="O100" s="11"/>
      <c r="P100" s="6"/>
      <c r="Q100" s="2"/>
      <c r="R100" s="7">
        <f t="shared" si="33"/>
        <v>0</v>
      </c>
      <c r="S100" s="2"/>
      <c r="T100" s="6">
        <v>400</v>
      </c>
      <c r="U100" s="2"/>
      <c r="V100" s="7">
        <f t="shared" si="34"/>
        <v>6.6090031144927172E-4</v>
      </c>
      <c r="W100" s="2"/>
      <c r="X100" s="6">
        <f t="shared" si="35"/>
        <v>-400</v>
      </c>
      <c r="Y100" s="2"/>
      <c r="Z100" s="7">
        <f t="shared" si="36"/>
        <v>-1</v>
      </c>
    </row>
    <row r="101" spans="1:26" s="29" customFormat="1" outlineLevel="1" collapsed="1" x14ac:dyDescent="0.25">
      <c r="A101" s="28"/>
      <c r="B101" s="14" t="str">
        <f>CONCATENATE("     ","Freight out/Postage                               ")</f>
        <v xml:space="preserve">     Freight out/Postage                               </v>
      </c>
      <c r="C101" s="14"/>
      <c r="D101" s="1">
        <f>SUM(OSRRefD22_8x_0)</f>
        <v>34.06</v>
      </c>
      <c r="E101" s="1"/>
      <c r="F101" s="5">
        <f t="shared" si="29"/>
        <v>1.0949714449064446E-4</v>
      </c>
      <c r="G101" s="1"/>
      <c r="H101" s="1">
        <f>SUM(OSRRefH22_8x_0)</f>
        <v>10</v>
      </c>
      <c r="I101" s="1"/>
      <c r="J101" s="5">
        <f t="shared" si="30"/>
        <v>2.6646486394304047E-5</v>
      </c>
      <c r="K101" s="1"/>
      <c r="L101" s="1">
        <f t="shared" si="31"/>
        <v>24.060000000000002</v>
      </c>
      <c r="M101" s="1"/>
      <c r="N101" s="5">
        <f t="shared" si="32"/>
        <v>2.4060000000000001</v>
      </c>
      <c r="O101" s="14"/>
      <c r="P101" s="1">
        <f>SUM(OSRRefP22_8x_0)</f>
        <v>50.45</v>
      </c>
      <c r="Q101" s="1"/>
      <c r="R101" s="5">
        <f t="shared" si="33"/>
        <v>1.0384095016136615E-4</v>
      </c>
      <c r="S101" s="1"/>
      <c r="T101" s="1">
        <f>SUM(OSRRefT22_8x_0)</f>
        <v>20</v>
      </c>
      <c r="U101" s="1"/>
      <c r="V101" s="5">
        <f t="shared" si="34"/>
        <v>3.3045015572463586E-5</v>
      </c>
      <c r="W101" s="1"/>
      <c r="X101" s="1">
        <f t="shared" si="35"/>
        <v>30.450000000000003</v>
      </c>
      <c r="Y101" s="1"/>
      <c r="Z101" s="5">
        <f t="shared" si="36"/>
        <v>1.5225000000000002</v>
      </c>
    </row>
    <row r="102" spans="1:26" s="24" customFormat="1" hidden="1" outlineLevel="2" x14ac:dyDescent="0.25">
      <c r="A102" s="27"/>
      <c r="B102" s="11" t="str">
        <f>CONCATENATE("          ", "6305", " - ", "FREIGHT OUT")</f>
        <v xml:space="preserve">          6305 - FREIGHT OUT</v>
      </c>
      <c r="C102" s="11"/>
      <c r="D102" s="6">
        <v>34.06</v>
      </c>
      <c r="E102" s="2"/>
      <c r="F102" s="7">
        <f t="shared" si="29"/>
        <v>1.0949714449064446E-4</v>
      </c>
      <c r="G102" s="2"/>
      <c r="H102" s="6"/>
      <c r="I102" s="2"/>
      <c r="J102" s="7">
        <f t="shared" si="30"/>
        <v>0</v>
      </c>
      <c r="K102" s="2"/>
      <c r="L102" s="6">
        <f t="shared" si="31"/>
        <v>34.06</v>
      </c>
      <c r="M102" s="2"/>
      <c r="N102" s="7">
        <f t="shared" si="32"/>
        <v>0</v>
      </c>
      <c r="O102" s="11"/>
      <c r="P102" s="6">
        <v>50.45</v>
      </c>
      <c r="Q102" s="2"/>
      <c r="R102" s="7">
        <f t="shared" si="33"/>
        <v>1.0384095016136615E-4</v>
      </c>
      <c r="S102" s="2"/>
      <c r="T102" s="6"/>
      <c r="U102" s="2"/>
      <c r="V102" s="7">
        <f t="shared" si="34"/>
        <v>0</v>
      </c>
      <c r="W102" s="2"/>
      <c r="X102" s="6">
        <f t="shared" si="35"/>
        <v>50.45</v>
      </c>
      <c r="Y102" s="2"/>
      <c r="Z102" s="7">
        <f t="shared" si="36"/>
        <v>0</v>
      </c>
    </row>
    <row r="103" spans="1:26" s="24" customFormat="1" hidden="1" outlineLevel="2" x14ac:dyDescent="0.25">
      <c r="A103" s="27"/>
      <c r="B103" s="11" t="str">
        <f>CONCATENATE("          ", "6307", " - ", "POSTAGE")</f>
        <v xml:space="preserve">          6307 - POSTAGE</v>
      </c>
      <c r="C103" s="11"/>
      <c r="D103" s="6"/>
      <c r="E103" s="2"/>
      <c r="F103" s="7">
        <f t="shared" si="29"/>
        <v>0</v>
      </c>
      <c r="G103" s="2"/>
      <c r="H103" s="6">
        <v>10</v>
      </c>
      <c r="I103" s="2"/>
      <c r="J103" s="7">
        <f t="shared" si="30"/>
        <v>2.6646486394304047E-5</v>
      </c>
      <c r="K103" s="2"/>
      <c r="L103" s="6">
        <f t="shared" si="31"/>
        <v>-10</v>
      </c>
      <c r="M103" s="2"/>
      <c r="N103" s="7">
        <f t="shared" si="32"/>
        <v>-1</v>
      </c>
      <c r="O103" s="11"/>
      <c r="P103" s="6"/>
      <c r="Q103" s="2"/>
      <c r="R103" s="7">
        <f t="shared" si="33"/>
        <v>0</v>
      </c>
      <c r="S103" s="2"/>
      <c r="T103" s="6">
        <v>20</v>
      </c>
      <c r="U103" s="2"/>
      <c r="V103" s="7">
        <f t="shared" si="34"/>
        <v>3.3045015572463586E-5</v>
      </c>
      <c r="W103" s="2"/>
      <c r="X103" s="6">
        <f t="shared" si="35"/>
        <v>-20</v>
      </c>
      <c r="Y103" s="2"/>
      <c r="Z103" s="7">
        <f t="shared" si="36"/>
        <v>-1</v>
      </c>
    </row>
    <row r="104" spans="1:26" s="29" customFormat="1" outlineLevel="1" collapsed="1" x14ac:dyDescent="0.25">
      <c r="A104" s="28"/>
      <c r="B104" s="14" t="str">
        <f>CONCATENATE("     ","General                                           ")</f>
        <v xml:space="preserve">     General                                           </v>
      </c>
      <c r="C104" s="14"/>
      <c r="D104" s="1">
        <f>SUM(OSRRefD22_9x_0)</f>
        <v>0</v>
      </c>
      <c r="E104" s="1"/>
      <c r="F104" s="5">
        <f t="shared" ref="F104:F106" si="37">IF(D$12=0,0,D104/D$12)</f>
        <v>0</v>
      </c>
      <c r="G104" s="1"/>
      <c r="H104" s="1">
        <f>SUM(OSRRefH22_9x_0)</f>
        <v>0</v>
      </c>
      <c r="I104" s="1"/>
      <c r="J104" s="5">
        <f t="shared" ref="J104:J106" si="38">IF(H$12=0,0,H104/H$12)</f>
        <v>0</v>
      </c>
      <c r="K104" s="1"/>
      <c r="L104" s="1">
        <f t="shared" ref="L104:L106" si="39">+D104-H104</f>
        <v>0</v>
      </c>
      <c r="M104" s="1"/>
      <c r="N104" s="5">
        <f t="shared" ref="N104:N106" si="40">IF(H104=0,0,L104/H104)</f>
        <v>0</v>
      </c>
      <c r="O104" s="14"/>
      <c r="P104" s="1">
        <f>SUM(OSRRefP22_9x_0)</f>
        <v>0</v>
      </c>
      <c r="Q104" s="1"/>
      <c r="R104" s="5">
        <f t="shared" ref="R104:R106" si="41">IF(P$12=0,0,P104/P$12)</f>
        <v>0</v>
      </c>
      <c r="S104" s="1"/>
      <c r="T104" s="1">
        <f>SUM(OSRRefT22_9x_0)</f>
        <v>150</v>
      </c>
      <c r="U104" s="1"/>
      <c r="V104" s="5">
        <f t="shared" ref="V104:V106" si="42">IF(T$12=0,0,T104/T$12)</f>
        <v>2.4783761679347691E-4</v>
      </c>
      <c r="W104" s="1"/>
      <c r="X104" s="1">
        <f t="shared" ref="X104:X106" si="43">+P104-T104</f>
        <v>-150</v>
      </c>
      <c r="Y104" s="1"/>
      <c r="Z104" s="5">
        <f t="shared" ref="Z104:Z106" si="44">IF(T104=0,0,X104/T104)</f>
        <v>-1</v>
      </c>
    </row>
    <row r="105" spans="1:26" s="24" customFormat="1" hidden="1" outlineLevel="2" x14ac:dyDescent="0.25">
      <c r="A105" s="27"/>
      <c r="B105" s="11" t="str">
        <f>CONCATENATE("          ", "6276", " - ", "PROPERTY TAX")</f>
        <v xml:space="preserve">          6276 - PROPERTY TAX</v>
      </c>
      <c r="C105" s="11"/>
      <c r="D105" s="6"/>
      <c r="E105" s="2"/>
      <c r="F105" s="7">
        <f t="shared" si="37"/>
        <v>0</v>
      </c>
      <c r="G105" s="2"/>
      <c r="H105" s="6"/>
      <c r="I105" s="2"/>
      <c r="J105" s="7">
        <f t="shared" si="38"/>
        <v>0</v>
      </c>
      <c r="K105" s="2"/>
      <c r="L105" s="6">
        <f t="shared" si="39"/>
        <v>0</v>
      </c>
      <c r="M105" s="2"/>
      <c r="N105" s="7">
        <f t="shared" si="40"/>
        <v>0</v>
      </c>
      <c r="O105" s="11"/>
      <c r="P105" s="6"/>
      <c r="Q105" s="2"/>
      <c r="R105" s="7">
        <f t="shared" si="41"/>
        <v>0</v>
      </c>
      <c r="S105" s="2"/>
      <c r="T105" s="6">
        <v>150</v>
      </c>
      <c r="U105" s="2"/>
      <c r="V105" s="7">
        <f t="shared" si="42"/>
        <v>2.4783761679347691E-4</v>
      </c>
      <c r="W105" s="2"/>
      <c r="X105" s="6">
        <f t="shared" si="43"/>
        <v>-150</v>
      </c>
      <c r="Y105" s="2"/>
      <c r="Z105" s="7">
        <f t="shared" si="44"/>
        <v>-1</v>
      </c>
    </row>
    <row r="106" spans="1:26" s="24" customFormat="1" hidden="1" outlineLevel="2" x14ac:dyDescent="0.25">
      <c r="A106" s="27"/>
      <c r="B106" s="11" t="str">
        <f>CONCATENATE("          ", "6279", " - ", "GENERAL EXPENSE")</f>
        <v xml:space="preserve">          6279 - GENERAL EXPENSE</v>
      </c>
      <c r="C106" s="11"/>
      <c r="D106" s="6"/>
      <c r="E106" s="2"/>
      <c r="F106" s="7">
        <f t="shared" si="37"/>
        <v>0</v>
      </c>
      <c r="G106" s="2"/>
      <c r="H106" s="6">
        <v>0</v>
      </c>
      <c r="I106" s="2"/>
      <c r="J106" s="7">
        <f t="shared" si="38"/>
        <v>0</v>
      </c>
      <c r="K106" s="2"/>
      <c r="L106" s="6">
        <f t="shared" si="39"/>
        <v>0</v>
      </c>
      <c r="M106" s="2"/>
      <c r="N106" s="7">
        <f t="shared" si="40"/>
        <v>0</v>
      </c>
      <c r="O106" s="11"/>
      <c r="P106" s="6"/>
      <c r="Q106" s="2"/>
      <c r="R106" s="7">
        <f t="shared" si="41"/>
        <v>0</v>
      </c>
      <c r="S106" s="2"/>
      <c r="T106" s="6">
        <v>0</v>
      </c>
      <c r="U106" s="2"/>
      <c r="V106" s="7">
        <f t="shared" si="42"/>
        <v>0</v>
      </c>
      <c r="W106" s="2"/>
      <c r="X106" s="6">
        <f t="shared" si="43"/>
        <v>0</v>
      </c>
      <c r="Y106" s="2"/>
      <c r="Z106" s="7">
        <f t="shared" si="44"/>
        <v>0</v>
      </c>
    </row>
    <row r="107" spans="1:26" s="29" customFormat="1" outlineLevel="1" collapsed="1" x14ac:dyDescent="0.25">
      <c r="A107" s="28"/>
      <c r="B107" s="14" t="str">
        <f>CONCATENATE("     ","Insurance                                         ")</f>
        <v xml:space="preserve">     Insurance                                         </v>
      </c>
      <c r="C107" s="14"/>
      <c r="D107" s="1">
        <f>SUM(OSRRefD22_10x_0)</f>
        <v>161.18</v>
      </c>
      <c r="E107" s="1"/>
      <c r="F107" s="5">
        <f t="shared" ref="F107:F120" si="45">IF(D$12=0,0,D107/D$12)</f>
        <v>5.1816646356435923E-4</v>
      </c>
      <c r="G107" s="1"/>
      <c r="H107" s="1">
        <f>SUM(OSRRefH22_10x_0)</f>
        <v>176</v>
      </c>
      <c r="I107" s="1"/>
      <c r="J107" s="5">
        <f t="shared" ref="J107:J120" si="46">IF(H$12=0,0,H107/H$12)</f>
        <v>4.6897816053975125E-4</v>
      </c>
      <c r="K107" s="1"/>
      <c r="L107" s="1">
        <f t="shared" ref="L107:L120" si="47">+D107-H107</f>
        <v>-14.819999999999993</v>
      </c>
      <c r="M107" s="1"/>
      <c r="N107" s="5">
        <f t="shared" ref="N107:N120" si="48">IF(H107=0,0,L107/H107)</f>
        <v>-8.4204545454545421E-2</v>
      </c>
      <c r="O107" s="14"/>
      <c r="P107" s="1">
        <f>SUM(OSRRefP22_10x_0)</f>
        <v>322.36</v>
      </c>
      <c r="Q107" s="1"/>
      <c r="R107" s="5">
        <f t="shared" ref="R107:R120" si="49">IF(P$12=0,0,P107/P$12)</f>
        <v>6.6351176796864211E-4</v>
      </c>
      <c r="S107" s="1"/>
      <c r="T107" s="1">
        <f>SUM(OSRRefT22_10x_0)</f>
        <v>352</v>
      </c>
      <c r="U107" s="1"/>
      <c r="V107" s="5">
        <f t="shared" ref="V107:V120" si="50">IF(T$12=0,0,T107/T$12)</f>
        <v>5.8159227407535911E-4</v>
      </c>
      <c r="W107" s="1"/>
      <c r="X107" s="1">
        <f t="shared" ref="X107:X120" si="51">+P107-T107</f>
        <v>-29.639999999999986</v>
      </c>
      <c r="Y107" s="1"/>
      <c r="Z107" s="5">
        <f t="shared" ref="Z107:Z120" si="52">IF(T107=0,0,X107/T107)</f>
        <v>-8.4204545454545421E-2</v>
      </c>
    </row>
    <row r="108" spans="1:26" s="24" customFormat="1" hidden="1" outlineLevel="2" x14ac:dyDescent="0.25">
      <c r="A108" s="27"/>
      <c r="B108" s="11" t="str">
        <f>CONCATENATE("          ", "6314", " - ", "LIABILITY INSURANCE")</f>
        <v xml:space="preserve">          6314 - LIABILITY INSURANCE</v>
      </c>
      <c r="C108" s="11"/>
      <c r="D108" s="6">
        <v>161.18</v>
      </c>
      <c r="E108" s="2"/>
      <c r="F108" s="7">
        <f t="shared" si="45"/>
        <v>5.1816646356435923E-4</v>
      </c>
      <c r="G108" s="2"/>
      <c r="H108" s="6">
        <v>176</v>
      </c>
      <c r="I108" s="2"/>
      <c r="J108" s="7">
        <f t="shared" si="46"/>
        <v>4.6897816053975125E-4</v>
      </c>
      <c r="K108" s="2"/>
      <c r="L108" s="6">
        <f t="shared" si="47"/>
        <v>-14.819999999999993</v>
      </c>
      <c r="M108" s="2"/>
      <c r="N108" s="7">
        <f t="shared" si="48"/>
        <v>-8.4204545454545421E-2</v>
      </c>
      <c r="O108" s="11"/>
      <c r="P108" s="6">
        <v>322.36</v>
      </c>
      <c r="Q108" s="2"/>
      <c r="R108" s="7">
        <f t="shared" si="49"/>
        <v>6.6351176796864211E-4</v>
      </c>
      <c r="S108" s="2"/>
      <c r="T108" s="6">
        <v>352</v>
      </c>
      <c r="U108" s="2"/>
      <c r="V108" s="7">
        <f t="shared" si="50"/>
        <v>5.8159227407535911E-4</v>
      </c>
      <c r="W108" s="2"/>
      <c r="X108" s="6">
        <f t="shared" si="51"/>
        <v>-29.639999999999986</v>
      </c>
      <c r="Y108" s="2"/>
      <c r="Z108" s="7">
        <f t="shared" si="52"/>
        <v>-8.4204545454545421E-2</v>
      </c>
    </row>
    <row r="109" spans="1:26" s="29" customFormat="1" outlineLevel="1" collapsed="1" x14ac:dyDescent="0.25">
      <c r="A109" s="28"/>
      <c r="B109" s="14" t="str">
        <f>CONCATENATE("     ","Inventory Adjustment                              ")</f>
        <v xml:space="preserve">     Inventory Adjustment                              </v>
      </c>
      <c r="C109" s="14"/>
      <c r="D109" s="1">
        <f>SUM(OSRRefD22_11x_0)</f>
        <v>1100</v>
      </c>
      <c r="E109" s="1"/>
      <c r="F109" s="5">
        <f t="shared" si="45"/>
        <v>3.5363141203672609E-3</v>
      </c>
      <c r="G109" s="1"/>
      <c r="H109" s="1">
        <f>SUM(OSRRefH22_11x_0)</f>
        <v>1100</v>
      </c>
      <c r="I109" s="1"/>
      <c r="J109" s="5">
        <f t="shared" si="46"/>
        <v>2.9311135033734453E-3</v>
      </c>
      <c r="K109" s="1"/>
      <c r="L109" s="1">
        <f t="shared" si="47"/>
        <v>0</v>
      </c>
      <c r="M109" s="1"/>
      <c r="N109" s="5">
        <f t="shared" si="48"/>
        <v>0</v>
      </c>
      <c r="O109" s="14"/>
      <c r="P109" s="1">
        <f>SUM(OSRRefP22_11x_0)</f>
        <v>2200</v>
      </c>
      <c r="Q109" s="1"/>
      <c r="R109" s="5">
        <f t="shared" si="49"/>
        <v>4.5282475788900999E-3</v>
      </c>
      <c r="S109" s="1"/>
      <c r="T109" s="1">
        <f>SUM(OSRRefT22_11x_0)</f>
        <v>2200</v>
      </c>
      <c r="U109" s="1"/>
      <c r="V109" s="5">
        <f t="shared" si="50"/>
        <v>3.6349517129709947E-3</v>
      </c>
      <c r="W109" s="1"/>
      <c r="X109" s="1">
        <f t="shared" si="51"/>
        <v>0</v>
      </c>
      <c r="Y109" s="1"/>
      <c r="Z109" s="5">
        <f t="shared" si="52"/>
        <v>0</v>
      </c>
    </row>
    <row r="110" spans="1:26" s="24" customFormat="1" hidden="1" outlineLevel="2" x14ac:dyDescent="0.25">
      <c r="A110" s="27"/>
      <c r="B110" s="11" t="str">
        <f>CONCATENATE("          ", "6408", " - ", "INVENTORY ADJUSTMENT")</f>
        <v xml:space="preserve">          6408 - INVENTORY ADJUSTMENT</v>
      </c>
      <c r="C110" s="11"/>
      <c r="D110" s="6">
        <v>1100</v>
      </c>
      <c r="E110" s="2"/>
      <c r="F110" s="7">
        <f t="shared" si="45"/>
        <v>3.5363141203672609E-3</v>
      </c>
      <c r="G110" s="2"/>
      <c r="H110" s="6">
        <v>1100</v>
      </c>
      <c r="I110" s="2"/>
      <c r="J110" s="7">
        <f t="shared" si="46"/>
        <v>2.9311135033734453E-3</v>
      </c>
      <c r="K110" s="2"/>
      <c r="L110" s="6">
        <f t="shared" si="47"/>
        <v>0</v>
      </c>
      <c r="M110" s="2"/>
      <c r="N110" s="7">
        <f t="shared" si="48"/>
        <v>0</v>
      </c>
      <c r="O110" s="11"/>
      <c r="P110" s="6">
        <v>2200</v>
      </c>
      <c r="Q110" s="2"/>
      <c r="R110" s="7">
        <f t="shared" si="49"/>
        <v>4.5282475788900999E-3</v>
      </c>
      <c r="S110" s="2"/>
      <c r="T110" s="6">
        <v>2200</v>
      </c>
      <c r="U110" s="2"/>
      <c r="V110" s="7">
        <f t="shared" si="50"/>
        <v>3.6349517129709947E-3</v>
      </c>
      <c r="W110" s="2"/>
      <c r="X110" s="6">
        <f t="shared" si="51"/>
        <v>0</v>
      </c>
      <c r="Y110" s="2"/>
      <c r="Z110" s="7">
        <f t="shared" si="52"/>
        <v>0</v>
      </c>
    </row>
    <row r="111" spans="1:26" s="29" customFormat="1" outlineLevel="1" collapsed="1" x14ac:dyDescent="0.25">
      <c r="A111" s="28"/>
      <c r="B111" s="14" t="str">
        <f>CONCATENATE("     ","Professional Services                             ")</f>
        <v xml:space="preserve">     Professional Services                             </v>
      </c>
      <c r="C111" s="14"/>
      <c r="D111" s="1">
        <f>SUM(OSRRefD22_12x_0)</f>
        <v>0</v>
      </c>
      <c r="E111" s="1"/>
      <c r="F111" s="5">
        <f t="shared" si="45"/>
        <v>0</v>
      </c>
      <c r="G111" s="1"/>
      <c r="H111" s="1">
        <f>SUM(OSRRefH22_12x_0)</f>
        <v>0</v>
      </c>
      <c r="I111" s="1"/>
      <c r="J111" s="5">
        <f t="shared" si="46"/>
        <v>0</v>
      </c>
      <c r="K111" s="1"/>
      <c r="L111" s="1">
        <f t="shared" si="47"/>
        <v>0</v>
      </c>
      <c r="M111" s="1"/>
      <c r="N111" s="5">
        <f t="shared" si="48"/>
        <v>0</v>
      </c>
      <c r="O111" s="14"/>
      <c r="P111" s="1">
        <f>SUM(OSRRefP22_12x_0)</f>
        <v>0</v>
      </c>
      <c r="Q111" s="1"/>
      <c r="R111" s="5">
        <f t="shared" si="49"/>
        <v>0</v>
      </c>
      <c r="S111" s="1"/>
      <c r="T111" s="1">
        <f>SUM(OSRRefT22_12x_0)</f>
        <v>5750</v>
      </c>
      <c r="U111" s="1"/>
      <c r="V111" s="5">
        <f t="shared" si="50"/>
        <v>9.5004419770832824E-3</v>
      </c>
      <c r="W111" s="1"/>
      <c r="X111" s="1">
        <f t="shared" si="51"/>
        <v>-5750</v>
      </c>
      <c r="Y111" s="1"/>
      <c r="Z111" s="5">
        <f t="shared" si="52"/>
        <v>-1</v>
      </c>
    </row>
    <row r="112" spans="1:26" s="24" customFormat="1" hidden="1" outlineLevel="2" x14ac:dyDescent="0.25">
      <c r="A112" s="27"/>
      <c r="B112" s="11" t="str">
        <f>CONCATENATE("          ", "6336", " - ", "PROFESSIONAL SERVICES")</f>
        <v xml:space="preserve">          6336 - PROFESSIONAL SERVICES</v>
      </c>
      <c r="C112" s="11"/>
      <c r="D112" s="6"/>
      <c r="E112" s="2"/>
      <c r="F112" s="7">
        <f t="shared" si="45"/>
        <v>0</v>
      </c>
      <c r="G112" s="2"/>
      <c r="H112" s="6">
        <v>0</v>
      </c>
      <c r="I112" s="2"/>
      <c r="J112" s="7">
        <f t="shared" si="46"/>
        <v>0</v>
      </c>
      <c r="K112" s="2"/>
      <c r="L112" s="6">
        <f t="shared" si="47"/>
        <v>0</v>
      </c>
      <c r="M112" s="2"/>
      <c r="N112" s="7">
        <f t="shared" si="48"/>
        <v>0</v>
      </c>
      <c r="O112" s="11"/>
      <c r="P112" s="6"/>
      <c r="Q112" s="2"/>
      <c r="R112" s="7">
        <f t="shared" si="49"/>
        <v>0</v>
      </c>
      <c r="S112" s="2"/>
      <c r="T112" s="6">
        <v>5750</v>
      </c>
      <c r="U112" s="2"/>
      <c r="V112" s="7">
        <f t="shared" si="50"/>
        <v>9.5004419770832824E-3</v>
      </c>
      <c r="W112" s="2"/>
      <c r="X112" s="6">
        <f t="shared" si="51"/>
        <v>-5750</v>
      </c>
      <c r="Y112" s="2"/>
      <c r="Z112" s="7">
        <f t="shared" si="52"/>
        <v>-1</v>
      </c>
    </row>
    <row r="113" spans="1:26" s="29" customFormat="1" outlineLevel="1" collapsed="1" x14ac:dyDescent="0.25">
      <c r="A113" s="28"/>
      <c r="B113" s="14" t="str">
        <f>CONCATENATE("     ","Rent                                              ")</f>
        <v xml:space="preserve">     Rent                                              </v>
      </c>
      <c r="C113" s="14"/>
      <c r="D113" s="1">
        <f>SUM(OSRRefD22_13x_0)</f>
        <v>6900</v>
      </c>
      <c r="E113" s="1"/>
      <c r="F113" s="5">
        <f t="shared" si="45"/>
        <v>2.2182334027758273E-2</v>
      </c>
      <c r="G113" s="1"/>
      <c r="H113" s="1">
        <f>SUM(OSRRefH22_13x_0)</f>
        <v>6900</v>
      </c>
      <c r="I113" s="1"/>
      <c r="J113" s="5">
        <f t="shared" si="46"/>
        <v>1.8386075612069792E-2</v>
      </c>
      <c r="K113" s="1"/>
      <c r="L113" s="1">
        <f t="shared" si="47"/>
        <v>0</v>
      </c>
      <c r="M113" s="1"/>
      <c r="N113" s="5">
        <f t="shared" si="48"/>
        <v>0</v>
      </c>
      <c r="O113" s="14"/>
      <c r="P113" s="1">
        <f>SUM(OSRRefP22_13x_0)</f>
        <v>13800</v>
      </c>
      <c r="Q113" s="1"/>
      <c r="R113" s="5">
        <f t="shared" si="49"/>
        <v>2.8404462085765171E-2</v>
      </c>
      <c r="S113" s="1"/>
      <c r="T113" s="1">
        <f>SUM(OSRRefT22_13x_0)</f>
        <v>13800</v>
      </c>
      <c r="U113" s="1"/>
      <c r="V113" s="5">
        <f t="shared" si="50"/>
        <v>2.2801060744999876E-2</v>
      </c>
      <c r="W113" s="1"/>
      <c r="X113" s="1">
        <f t="shared" si="51"/>
        <v>0</v>
      </c>
      <c r="Y113" s="1"/>
      <c r="Z113" s="5">
        <f t="shared" si="52"/>
        <v>0</v>
      </c>
    </row>
    <row r="114" spans="1:26" s="24" customFormat="1" hidden="1" outlineLevel="2" x14ac:dyDescent="0.25">
      <c r="A114" s="27"/>
      <c r="B114" s="11" t="str">
        <f>CONCATENATE("          ", "6273", " - ", "RENT")</f>
        <v xml:space="preserve">          6273 - RENT</v>
      </c>
      <c r="C114" s="11"/>
      <c r="D114" s="6">
        <v>6900</v>
      </c>
      <c r="E114" s="2"/>
      <c r="F114" s="7">
        <f t="shared" si="45"/>
        <v>2.2182334027758273E-2</v>
      </c>
      <c r="G114" s="2"/>
      <c r="H114" s="6">
        <v>6900</v>
      </c>
      <c r="I114" s="2"/>
      <c r="J114" s="7">
        <f t="shared" si="46"/>
        <v>1.8386075612069792E-2</v>
      </c>
      <c r="K114" s="2"/>
      <c r="L114" s="6">
        <f t="shared" si="47"/>
        <v>0</v>
      </c>
      <c r="M114" s="2"/>
      <c r="N114" s="7">
        <f t="shared" si="48"/>
        <v>0</v>
      </c>
      <c r="O114" s="11"/>
      <c r="P114" s="6">
        <v>13800</v>
      </c>
      <c r="Q114" s="2"/>
      <c r="R114" s="7">
        <f t="shared" si="49"/>
        <v>2.8404462085765171E-2</v>
      </c>
      <c r="S114" s="2"/>
      <c r="T114" s="6">
        <v>13800</v>
      </c>
      <c r="U114" s="2"/>
      <c r="V114" s="7">
        <f t="shared" si="50"/>
        <v>2.2801060744999876E-2</v>
      </c>
      <c r="W114" s="2"/>
      <c r="X114" s="6">
        <f t="shared" si="51"/>
        <v>0</v>
      </c>
      <c r="Y114" s="2"/>
      <c r="Z114" s="7">
        <f t="shared" si="52"/>
        <v>0</v>
      </c>
    </row>
    <row r="115" spans="1:26" s="29" customFormat="1" outlineLevel="1" collapsed="1" x14ac:dyDescent="0.25">
      <c r="A115" s="28"/>
      <c r="B115" s="14" t="str">
        <f>CONCATENATE("     ","Repair and Maintenance                            ")</f>
        <v xml:space="preserve">     Repair and Maintenance                            </v>
      </c>
      <c r="C115" s="14"/>
      <c r="D115" s="1">
        <f>SUM(OSRRefD22_14x_0)</f>
        <v>0</v>
      </c>
      <c r="E115" s="1"/>
      <c r="F115" s="5">
        <f t="shared" si="45"/>
        <v>0</v>
      </c>
      <c r="G115" s="1"/>
      <c r="H115" s="1">
        <f>SUM(OSRRefH22_14x_0)</f>
        <v>400</v>
      </c>
      <c r="I115" s="1"/>
      <c r="J115" s="5">
        <f t="shared" si="46"/>
        <v>1.0658594557721619E-3</v>
      </c>
      <c r="K115" s="1"/>
      <c r="L115" s="1">
        <f t="shared" si="47"/>
        <v>-400</v>
      </c>
      <c r="M115" s="1"/>
      <c r="N115" s="5">
        <f t="shared" si="48"/>
        <v>-1</v>
      </c>
      <c r="O115" s="14"/>
      <c r="P115" s="1">
        <f>SUM(OSRRefP22_14x_0)</f>
        <v>0</v>
      </c>
      <c r="Q115" s="1"/>
      <c r="R115" s="5">
        <f t="shared" si="49"/>
        <v>0</v>
      </c>
      <c r="S115" s="1"/>
      <c r="T115" s="1">
        <f>SUM(OSRRefT22_14x_0)</f>
        <v>550</v>
      </c>
      <c r="U115" s="1"/>
      <c r="V115" s="5">
        <f t="shared" si="50"/>
        <v>9.0873792824274868E-4</v>
      </c>
      <c r="W115" s="1"/>
      <c r="X115" s="1">
        <f t="shared" si="51"/>
        <v>-550</v>
      </c>
      <c r="Y115" s="1"/>
      <c r="Z115" s="5">
        <f t="shared" si="52"/>
        <v>-1</v>
      </c>
    </row>
    <row r="116" spans="1:26" s="24" customFormat="1" hidden="1" outlineLevel="2" x14ac:dyDescent="0.25">
      <c r="A116" s="27"/>
      <c r="B116" s="11" t="str">
        <f>CONCATENATE("          ", "6375", " - ", "OUTSIDE REPAIRS &amp; MAINTENANCE")</f>
        <v xml:space="preserve">          6375 - OUTSIDE REPAIRS &amp; MAINTENANCE</v>
      </c>
      <c r="C116" s="11"/>
      <c r="D116" s="6"/>
      <c r="E116" s="2"/>
      <c r="F116" s="7">
        <f t="shared" si="45"/>
        <v>0</v>
      </c>
      <c r="G116" s="2"/>
      <c r="H116" s="6">
        <v>400</v>
      </c>
      <c r="I116" s="2"/>
      <c r="J116" s="7">
        <f t="shared" si="46"/>
        <v>1.0658594557721619E-3</v>
      </c>
      <c r="K116" s="2"/>
      <c r="L116" s="6">
        <f t="shared" si="47"/>
        <v>-400</v>
      </c>
      <c r="M116" s="2"/>
      <c r="N116" s="7">
        <f t="shared" si="48"/>
        <v>-1</v>
      </c>
      <c r="O116" s="11"/>
      <c r="P116" s="6"/>
      <c r="Q116" s="2"/>
      <c r="R116" s="7">
        <f t="shared" si="49"/>
        <v>0</v>
      </c>
      <c r="S116" s="2"/>
      <c r="T116" s="6">
        <v>550</v>
      </c>
      <c r="U116" s="2"/>
      <c r="V116" s="7">
        <f t="shared" si="50"/>
        <v>9.0873792824274868E-4</v>
      </c>
      <c r="W116" s="2"/>
      <c r="X116" s="6">
        <f t="shared" si="51"/>
        <v>-550</v>
      </c>
      <c r="Y116" s="2"/>
      <c r="Z116" s="7">
        <f t="shared" si="52"/>
        <v>-1</v>
      </c>
    </row>
    <row r="117" spans="1:26" s="29" customFormat="1" outlineLevel="1" collapsed="1" x14ac:dyDescent="0.25">
      <c r="A117" s="28"/>
      <c r="B117" s="14" t="str">
        <f>CONCATENATE("     ","Royalty &amp; Commissions                             ")</f>
        <v xml:space="preserve">     Royalty &amp; Commissions                             </v>
      </c>
      <c r="C117" s="14"/>
      <c r="D117" s="1">
        <f>SUM(OSRRefD22_15x_0)</f>
        <v>2250</v>
      </c>
      <c r="E117" s="1"/>
      <c r="F117" s="5">
        <f t="shared" si="45"/>
        <v>7.2333697916603058E-3</v>
      </c>
      <c r="G117" s="1"/>
      <c r="H117" s="1">
        <f>SUM(OSRRefH22_15x_0)</f>
        <v>6271</v>
      </c>
      <c r="I117" s="1"/>
      <c r="J117" s="5">
        <f t="shared" si="46"/>
        <v>1.671001161786807E-2</v>
      </c>
      <c r="K117" s="1"/>
      <c r="L117" s="1">
        <f t="shared" si="47"/>
        <v>-4021</v>
      </c>
      <c r="M117" s="1"/>
      <c r="N117" s="5">
        <f t="shared" si="48"/>
        <v>-0.64120554935416996</v>
      </c>
      <c r="O117" s="14"/>
      <c r="P117" s="1">
        <f>SUM(OSRRefP22_15x_0)</f>
        <v>7922.2</v>
      </c>
      <c r="Q117" s="1"/>
      <c r="R117" s="5">
        <f t="shared" si="49"/>
        <v>1.630621953158325E-2</v>
      </c>
      <c r="S117" s="1"/>
      <c r="T117" s="1">
        <f>SUM(OSRRefT22_15x_0)</f>
        <v>12542</v>
      </c>
      <c r="U117" s="1"/>
      <c r="V117" s="5">
        <f t="shared" si="50"/>
        <v>2.0722529265491917E-2</v>
      </c>
      <c r="W117" s="1"/>
      <c r="X117" s="1">
        <f t="shared" si="51"/>
        <v>-4619.8</v>
      </c>
      <c r="Y117" s="1"/>
      <c r="Z117" s="5">
        <f t="shared" si="52"/>
        <v>-0.36834635624302348</v>
      </c>
    </row>
    <row r="118" spans="1:26" s="24" customFormat="1" hidden="1" outlineLevel="2" x14ac:dyDescent="0.25">
      <c r="A118" s="27"/>
      <c r="B118" s="11" t="str">
        <f>CONCATENATE("          ", "6252", " - ", "ROYALTY DUE CSTV")</f>
        <v xml:space="preserve">          6252 - ROYALTY DUE CSTV</v>
      </c>
      <c r="C118" s="11"/>
      <c r="D118" s="6"/>
      <c r="E118" s="2"/>
      <c r="F118" s="7">
        <f t="shared" si="45"/>
        <v>0</v>
      </c>
      <c r="G118" s="2"/>
      <c r="H118" s="6">
        <v>1085</v>
      </c>
      <c r="I118" s="2"/>
      <c r="J118" s="7">
        <f t="shared" si="46"/>
        <v>2.8911437737819891E-3</v>
      </c>
      <c r="K118" s="2"/>
      <c r="L118" s="6">
        <f t="shared" si="47"/>
        <v>-1085</v>
      </c>
      <c r="M118" s="2"/>
      <c r="N118" s="7">
        <f t="shared" si="48"/>
        <v>-1</v>
      </c>
      <c r="O118" s="11"/>
      <c r="P118" s="6"/>
      <c r="Q118" s="2"/>
      <c r="R118" s="7">
        <f t="shared" si="49"/>
        <v>0</v>
      </c>
      <c r="S118" s="2"/>
      <c r="T118" s="6">
        <v>2170</v>
      </c>
      <c r="U118" s="2"/>
      <c r="V118" s="7">
        <f t="shared" si="50"/>
        <v>3.5853841896122994E-3</v>
      </c>
      <c r="W118" s="2"/>
      <c r="X118" s="6">
        <f t="shared" si="51"/>
        <v>-2170</v>
      </c>
      <c r="Y118" s="2"/>
      <c r="Z118" s="7">
        <f t="shared" si="52"/>
        <v>-1</v>
      </c>
    </row>
    <row r="119" spans="1:26" s="24" customFormat="1" hidden="1" outlineLevel="2" x14ac:dyDescent="0.25">
      <c r="A119" s="27"/>
      <c r="B119" s="11" t="str">
        <f>CONCATENATE("          ", "6253", " - ", "ROYALTY DUE ATHLETICS-LRG")</f>
        <v xml:space="preserve">          6253 - ROYALTY DUE ATHLETICS-LRG</v>
      </c>
      <c r="C119" s="11"/>
      <c r="D119" s="6">
        <v>2250</v>
      </c>
      <c r="E119" s="2"/>
      <c r="F119" s="7">
        <f t="shared" si="45"/>
        <v>7.2333697916603058E-3</v>
      </c>
      <c r="G119" s="2"/>
      <c r="H119" s="6">
        <v>4037</v>
      </c>
      <c r="I119" s="2"/>
      <c r="J119" s="7">
        <f t="shared" si="46"/>
        <v>1.0757186557380543E-2</v>
      </c>
      <c r="K119" s="2"/>
      <c r="L119" s="6">
        <f t="shared" si="47"/>
        <v>-1787</v>
      </c>
      <c r="M119" s="2"/>
      <c r="N119" s="7">
        <f t="shared" si="48"/>
        <v>-0.44265543720584594</v>
      </c>
      <c r="O119" s="11"/>
      <c r="P119" s="6">
        <v>7922.2</v>
      </c>
      <c r="Q119" s="2"/>
      <c r="R119" s="7">
        <f t="shared" si="49"/>
        <v>1.630621953158325E-2</v>
      </c>
      <c r="S119" s="2"/>
      <c r="T119" s="6">
        <v>8074</v>
      </c>
      <c r="U119" s="2"/>
      <c r="V119" s="7">
        <f t="shared" si="50"/>
        <v>1.334027278660355E-2</v>
      </c>
      <c r="W119" s="2"/>
      <c r="X119" s="6">
        <f t="shared" si="51"/>
        <v>-151.80000000000018</v>
      </c>
      <c r="Y119" s="2"/>
      <c r="Z119" s="7">
        <f t="shared" si="52"/>
        <v>-1.8801089918256152E-2</v>
      </c>
    </row>
    <row r="120" spans="1:26" s="24" customFormat="1" hidden="1" outlineLevel="2" x14ac:dyDescent="0.25">
      <c r="A120" s="27"/>
      <c r="B120" s="11" t="str">
        <f>CONCATENATE("          ", "6254", " - ", "ROYALTY &amp; COMMISSIONS")</f>
        <v xml:space="preserve">          6254 - ROYALTY &amp; COMMISSIONS</v>
      </c>
      <c r="C120" s="11"/>
      <c r="D120" s="6"/>
      <c r="E120" s="2"/>
      <c r="F120" s="7">
        <f t="shared" si="45"/>
        <v>0</v>
      </c>
      <c r="G120" s="2"/>
      <c r="H120" s="6">
        <v>1149</v>
      </c>
      <c r="I120" s="2"/>
      <c r="J120" s="7">
        <f t="shared" si="46"/>
        <v>3.0616812867055349E-3</v>
      </c>
      <c r="K120" s="2"/>
      <c r="L120" s="6">
        <f t="shared" si="47"/>
        <v>-1149</v>
      </c>
      <c r="M120" s="2"/>
      <c r="N120" s="7">
        <f t="shared" si="48"/>
        <v>-1</v>
      </c>
      <c r="O120" s="11"/>
      <c r="P120" s="6"/>
      <c r="Q120" s="2"/>
      <c r="R120" s="7">
        <f t="shared" si="49"/>
        <v>0</v>
      </c>
      <c r="S120" s="2"/>
      <c r="T120" s="6">
        <v>2298</v>
      </c>
      <c r="U120" s="2"/>
      <c r="V120" s="7">
        <f t="shared" si="50"/>
        <v>3.7968722892760664E-3</v>
      </c>
      <c r="W120" s="2"/>
      <c r="X120" s="6">
        <f t="shared" si="51"/>
        <v>-2298</v>
      </c>
      <c r="Y120" s="2"/>
      <c r="Z120" s="7">
        <f t="shared" si="52"/>
        <v>-1</v>
      </c>
    </row>
    <row r="121" spans="1:26" s="29" customFormat="1" outlineLevel="1" collapsed="1" x14ac:dyDescent="0.25">
      <c r="A121" s="28"/>
      <c r="B121" s="14" t="str">
        <f>CONCATENATE("     ","Services                                          ")</f>
        <v xml:space="preserve">     Services                                          </v>
      </c>
      <c r="C121" s="14"/>
      <c r="D121" s="1">
        <f>SUM(OSRRefD22_16x_0)</f>
        <v>81.84</v>
      </c>
      <c r="E121" s="1"/>
      <c r="F121" s="5">
        <f t="shared" ref="F121:F124" si="53">IF(D$12=0,0,D121/D$12)</f>
        <v>2.6310177055532421E-4</v>
      </c>
      <c r="G121" s="1"/>
      <c r="H121" s="1">
        <f>SUM(OSRRefH22_16x_0)</f>
        <v>155</v>
      </c>
      <c r="I121" s="1"/>
      <c r="J121" s="5">
        <f t="shared" ref="J121:J124" si="54">IF(H$12=0,0,H121/H$12)</f>
        <v>4.1302053911171274E-4</v>
      </c>
      <c r="K121" s="1"/>
      <c r="L121" s="1">
        <f t="shared" ref="L121:L124" si="55">+D121-H121</f>
        <v>-73.16</v>
      </c>
      <c r="M121" s="1"/>
      <c r="N121" s="5">
        <f t="shared" ref="N121:N124" si="56">IF(H121=0,0,L121/H121)</f>
        <v>-0.47199999999999998</v>
      </c>
      <c r="O121" s="14"/>
      <c r="P121" s="1">
        <f>SUM(OSRRefP22_16x_0)</f>
        <v>-251.60000000000002</v>
      </c>
      <c r="Q121" s="1"/>
      <c r="R121" s="5">
        <f t="shared" ref="R121:R124" si="57">IF(P$12=0,0,P121/P$12)</f>
        <v>-5.1786685947670418E-4</v>
      </c>
      <c r="S121" s="1"/>
      <c r="T121" s="1">
        <f>SUM(OSRRefT22_16x_0)</f>
        <v>310</v>
      </c>
      <c r="U121" s="1"/>
      <c r="V121" s="5">
        <f t="shared" ref="V121:V124" si="58">IF(T$12=0,0,T121/T$12)</f>
        <v>5.1219774137318565E-4</v>
      </c>
      <c r="W121" s="1"/>
      <c r="X121" s="1">
        <f t="shared" ref="X121:X124" si="59">+P121-T121</f>
        <v>-561.6</v>
      </c>
      <c r="Y121" s="1"/>
      <c r="Z121" s="5">
        <f t="shared" ref="Z121:Z124" si="60">IF(T121=0,0,X121/T121)</f>
        <v>-1.8116129032258066</v>
      </c>
    </row>
    <row r="122" spans="1:26" s="24" customFormat="1" hidden="1" outlineLevel="2" x14ac:dyDescent="0.25">
      <c r="A122" s="27"/>
      <c r="B122" s="11" t="str">
        <f>CONCATENATE("          ", "6283", " - ", "PLANT SERVICE")</f>
        <v xml:space="preserve">          6283 - PLANT SERVICE</v>
      </c>
      <c r="C122" s="11"/>
      <c r="D122" s="6"/>
      <c r="E122" s="2"/>
      <c r="F122" s="7">
        <f t="shared" si="53"/>
        <v>0</v>
      </c>
      <c r="G122" s="2"/>
      <c r="H122" s="6">
        <v>0</v>
      </c>
      <c r="I122" s="2"/>
      <c r="J122" s="7">
        <f t="shared" si="54"/>
        <v>0</v>
      </c>
      <c r="K122" s="2"/>
      <c r="L122" s="6">
        <f t="shared" si="55"/>
        <v>0</v>
      </c>
      <c r="M122" s="2"/>
      <c r="N122" s="7">
        <f t="shared" si="56"/>
        <v>0</v>
      </c>
      <c r="O122" s="11"/>
      <c r="P122" s="6"/>
      <c r="Q122" s="2"/>
      <c r="R122" s="7">
        <f t="shared" si="57"/>
        <v>0</v>
      </c>
      <c r="S122" s="2"/>
      <c r="T122" s="6">
        <v>0</v>
      </c>
      <c r="U122" s="2"/>
      <c r="V122" s="7">
        <f t="shared" si="58"/>
        <v>0</v>
      </c>
      <c r="W122" s="2"/>
      <c r="X122" s="6">
        <f t="shared" si="59"/>
        <v>0</v>
      </c>
      <c r="Y122" s="2"/>
      <c r="Z122" s="7">
        <f t="shared" si="60"/>
        <v>0</v>
      </c>
    </row>
    <row r="123" spans="1:26" s="24" customFormat="1" hidden="1" outlineLevel="2" x14ac:dyDescent="0.25">
      <c r="A123" s="27"/>
      <c r="B123" s="11" t="str">
        <f>CONCATENATE("          ", "6284", " - ", "TRASH REMOVAL EXPENSE")</f>
        <v xml:space="preserve">          6284 - TRASH REMOVAL EXPENSE</v>
      </c>
      <c r="C123" s="11"/>
      <c r="D123" s="6">
        <v>142.57</v>
      </c>
      <c r="E123" s="2"/>
      <c r="F123" s="7">
        <f t="shared" si="53"/>
        <v>4.5833845830978214E-4</v>
      </c>
      <c r="G123" s="2"/>
      <c r="H123" s="6">
        <v>55</v>
      </c>
      <c r="I123" s="2"/>
      <c r="J123" s="7">
        <f t="shared" si="54"/>
        <v>1.4655567516867225E-4</v>
      </c>
      <c r="K123" s="2"/>
      <c r="L123" s="6">
        <f t="shared" si="55"/>
        <v>87.57</v>
      </c>
      <c r="M123" s="2"/>
      <c r="N123" s="7">
        <f t="shared" si="56"/>
        <v>1.5921818181818181</v>
      </c>
      <c r="O123" s="11"/>
      <c r="P123" s="6">
        <v>285.14</v>
      </c>
      <c r="Q123" s="2"/>
      <c r="R123" s="7">
        <f t="shared" si="57"/>
        <v>5.8690205211123778E-4</v>
      </c>
      <c r="S123" s="2"/>
      <c r="T123" s="6">
        <v>110</v>
      </c>
      <c r="U123" s="2"/>
      <c r="V123" s="7">
        <f t="shared" si="58"/>
        <v>1.8174758564854974E-4</v>
      </c>
      <c r="W123" s="2"/>
      <c r="X123" s="6">
        <f t="shared" si="59"/>
        <v>175.14</v>
      </c>
      <c r="Y123" s="2"/>
      <c r="Z123" s="7">
        <f t="shared" si="60"/>
        <v>1.5921818181818181</v>
      </c>
    </row>
    <row r="124" spans="1:26" s="24" customFormat="1" hidden="1" outlineLevel="2" x14ac:dyDescent="0.25">
      <c r="A124" s="27"/>
      <c r="B124" s="11" t="str">
        <f>CONCATENATE("          ", "6285", " - ", "JANITORIAL SERVICES")</f>
        <v xml:space="preserve">          6285 - JANITORIAL SERVICES</v>
      </c>
      <c r="C124" s="11"/>
      <c r="D124" s="6">
        <v>-60.73</v>
      </c>
      <c r="E124" s="2"/>
      <c r="F124" s="7">
        <f t="shared" si="53"/>
        <v>-1.9523668775445793E-4</v>
      </c>
      <c r="G124" s="2"/>
      <c r="H124" s="6">
        <v>100</v>
      </c>
      <c r="I124" s="2"/>
      <c r="J124" s="7">
        <f t="shared" si="54"/>
        <v>2.6646486394304048E-4</v>
      </c>
      <c r="K124" s="2"/>
      <c r="L124" s="6">
        <f t="shared" si="55"/>
        <v>-160.72999999999999</v>
      </c>
      <c r="M124" s="2"/>
      <c r="N124" s="7">
        <f t="shared" si="56"/>
        <v>-1.6073</v>
      </c>
      <c r="O124" s="11"/>
      <c r="P124" s="6">
        <v>-536.74</v>
      </c>
      <c r="Q124" s="2"/>
      <c r="R124" s="7">
        <f t="shared" si="57"/>
        <v>-1.104768911587942E-3</v>
      </c>
      <c r="S124" s="2"/>
      <c r="T124" s="6">
        <v>200</v>
      </c>
      <c r="U124" s="2"/>
      <c r="V124" s="7">
        <f t="shared" si="58"/>
        <v>3.3045015572463586E-4</v>
      </c>
      <c r="W124" s="2"/>
      <c r="X124" s="6">
        <f t="shared" si="59"/>
        <v>-736.74</v>
      </c>
      <c r="Y124" s="2"/>
      <c r="Z124" s="7">
        <f t="shared" si="60"/>
        <v>-3.6837</v>
      </c>
    </row>
    <row r="125" spans="1:26" s="29" customFormat="1" outlineLevel="1" collapsed="1" x14ac:dyDescent="0.25">
      <c r="A125" s="28"/>
      <c r="B125" s="14" t="str">
        <f>CONCATENATE("     ","Subscriptions &amp; Dues                              ")</f>
        <v xml:space="preserve">     Subscriptions &amp; Dues                              </v>
      </c>
      <c r="C125" s="14"/>
      <c r="D125" s="1">
        <f>SUM(OSRRefD22_17x_0)</f>
        <v>0</v>
      </c>
      <c r="E125" s="1"/>
      <c r="F125" s="5">
        <f t="shared" ref="F125:F127" si="61">IF(D$12=0,0,D125/D$12)</f>
        <v>0</v>
      </c>
      <c r="G125" s="1"/>
      <c r="H125" s="1">
        <f>SUM(OSRRefH22_17x_0)</f>
        <v>0</v>
      </c>
      <c r="I125" s="1"/>
      <c r="J125" s="5">
        <f t="shared" ref="J125:J127" si="62">IF(H$12=0,0,H125/H$12)</f>
        <v>0</v>
      </c>
      <c r="K125" s="1"/>
      <c r="L125" s="1">
        <f t="shared" ref="L125:L127" si="63">+D125-H125</f>
        <v>0</v>
      </c>
      <c r="M125" s="1"/>
      <c r="N125" s="5">
        <f t="shared" ref="N125:N127" si="64">IF(H125=0,0,L125/H125)</f>
        <v>0</v>
      </c>
      <c r="O125" s="14"/>
      <c r="P125" s="1">
        <f>SUM(OSRRefP22_17x_0)</f>
        <v>75</v>
      </c>
      <c r="Q125" s="1"/>
      <c r="R125" s="5">
        <f t="shared" ref="R125:R127" si="65">IF(P$12=0,0,P125/P$12)</f>
        <v>1.5437207655307159E-4</v>
      </c>
      <c r="S125" s="1"/>
      <c r="T125" s="1">
        <f>SUM(OSRRefT22_17x_0)</f>
        <v>1395</v>
      </c>
      <c r="U125" s="1"/>
      <c r="V125" s="5">
        <f t="shared" ref="V125:V127" si="66">IF(T$12=0,0,T125/T$12)</f>
        <v>2.3048898361793355E-3</v>
      </c>
      <c r="W125" s="1"/>
      <c r="X125" s="1">
        <f t="shared" ref="X125:X127" si="67">+P125-T125</f>
        <v>-1320</v>
      </c>
      <c r="Y125" s="1"/>
      <c r="Z125" s="5">
        <f t="shared" ref="Z125:Z127" si="68">IF(T125=0,0,X125/T125)</f>
        <v>-0.94623655913978499</v>
      </c>
    </row>
    <row r="126" spans="1:26" s="24" customFormat="1" hidden="1" outlineLevel="2" x14ac:dyDescent="0.25">
      <c r="A126" s="27"/>
      <c r="B126" s="11" t="str">
        <f>CONCATENATE("          ", "6258", " - ", "MEMBERSHIP DUES")</f>
        <v xml:space="preserve">          6258 - MEMBERSHIP DUES</v>
      </c>
      <c r="C126" s="11"/>
      <c r="D126" s="6"/>
      <c r="E126" s="2"/>
      <c r="F126" s="7">
        <f t="shared" si="61"/>
        <v>0</v>
      </c>
      <c r="G126" s="2"/>
      <c r="H126" s="6">
        <v>0</v>
      </c>
      <c r="I126" s="2"/>
      <c r="J126" s="7">
        <f t="shared" si="62"/>
        <v>0</v>
      </c>
      <c r="K126" s="2"/>
      <c r="L126" s="6">
        <f t="shared" si="63"/>
        <v>0</v>
      </c>
      <c r="M126" s="2"/>
      <c r="N126" s="7">
        <f t="shared" si="64"/>
        <v>0</v>
      </c>
      <c r="O126" s="11"/>
      <c r="P126" s="6"/>
      <c r="Q126" s="2"/>
      <c r="R126" s="7">
        <f t="shared" si="65"/>
        <v>0</v>
      </c>
      <c r="S126" s="2"/>
      <c r="T126" s="6">
        <v>1395</v>
      </c>
      <c r="U126" s="2"/>
      <c r="V126" s="7">
        <f t="shared" si="66"/>
        <v>2.3048898361793355E-3</v>
      </c>
      <c r="W126" s="2"/>
      <c r="X126" s="6">
        <f t="shared" si="67"/>
        <v>-1395</v>
      </c>
      <c r="Y126" s="2"/>
      <c r="Z126" s="7">
        <f t="shared" si="68"/>
        <v>-1</v>
      </c>
    </row>
    <row r="127" spans="1:26" s="24" customFormat="1" hidden="1" outlineLevel="2" x14ac:dyDescent="0.25">
      <c r="A127" s="27"/>
      <c r="B127" s="11" t="str">
        <f>CONCATENATE("          ", "6275", " - ", "SUBSCRIPTIONS")</f>
        <v xml:space="preserve">          6275 - SUBSCRIPTIONS</v>
      </c>
      <c r="C127" s="11"/>
      <c r="D127" s="6"/>
      <c r="E127" s="2"/>
      <c r="F127" s="7">
        <f t="shared" si="61"/>
        <v>0</v>
      </c>
      <c r="G127" s="2"/>
      <c r="H127" s="6">
        <v>0</v>
      </c>
      <c r="I127" s="2"/>
      <c r="J127" s="7">
        <f t="shared" si="62"/>
        <v>0</v>
      </c>
      <c r="K127" s="2"/>
      <c r="L127" s="6">
        <f t="shared" si="63"/>
        <v>0</v>
      </c>
      <c r="M127" s="2"/>
      <c r="N127" s="7">
        <f t="shared" si="64"/>
        <v>0</v>
      </c>
      <c r="O127" s="11"/>
      <c r="P127" s="6">
        <v>75</v>
      </c>
      <c r="Q127" s="2"/>
      <c r="R127" s="7">
        <f t="shared" si="65"/>
        <v>1.5437207655307159E-4</v>
      </c>
      <c r="S127" s="2"/>
      <c r="T127" s="6">
        <v>0</v>
      </c>
      <c r="U127" s="2"/>
      <c r="V127" s="7">
        <f t="shared" si="66"/>
        <v>0</v>
      </c>
      <c r="W127" s="2"/>
      <c r="X127" s="6">
        <f t="shared" si="67"/>
        <v>75</v>
      </c>
      <c r="Y127" s="2"/>
      <c r="Z127" s="7">
        <f t="shared" si="68"/>
        <v>0</v>
      </c>
    </row>
    <row r="128" spans="1:26" s="29" customFormat="1" outlineLevel="1" collapsed="1" x14ac:dyDescent="0.25">
      <c r="A128" s="28"/>
      <c r="B128" s="14" t="str">
        <f>CONCATENATE("     ","Supplies                                          ")</f>
        <v xml:space="preserve">     Supplies                                          </v>
      </c>
      <c r="C128" s="14"/>
      <c r="D128" s="1">
        <f>SUM(OSRRefD22_18x_0)</f>
        <v>63.11</v>
      </c>
      <c r="E128" s="1"/>
      <c r="F128" s="5">
        <f t="shared" ref="F128:F136" si="69">IF(D$12=0,0,D128/D$12)</f>
        <v>2.028879855785253E-4</v>
      </c>
      <c r="G128" s="1"/>
      <c r="H128" s="1">
        <f>SUM(OSRRefH22_18x_0)</f>
        <v>610</v>
      </c>
      <c r="I128" s="1"/>
      <c r="J128" s="5">
        <f t="shared" ref="J128:J136" si="70">IF(H$12=0,0,H128/H$12)</f>
        <v>1.6254356700525468E-3</v>
      </c>
      <c r="K128" s="1"/>
      <c r="L128" s="1">
        <f t="shared" ref="L128:L136" si="71">+D128-H128</f>
        <v>-546.89</v>
      </c>
      <c r="M128" s="1"/>
      <c r="N128" s="5">
        <f t="shared" ref="N128:N136" si="72">IF(H128=0,0,L128/H128)</f>
        <v>-0.89654098360655732</v>
      </c>
      <c r="O128" s="14"/>
      <c r="P128" s="1">
        <f>SUM(OSRRefP22_18x_0)</f>
        <v>1212.18</v>
      </c>
      <c r="Q128" s="1"/>
      <c r="R128" s="5">
        <f t="shared" ref="R128:R136" si="73">IF(P$12=0,0,P128/P$12)</f>
        <v>2.4950232500813643E-3</v>
      </c>
      <c r="S128" s="1"/>
      <c r="T128" s="1">
        <f>SUM(OSRRefT22_18x_0)</f>
        <v>1245</v>
      </c>
      <c r="U128" s="1"/>
      <c r="V128" s="5">
        <f t="shared" ref="V128:V136" si="74">IF(T$12=0,0,T128/T$12)</f>
        <v>2.0570522193858582E-3</v>
      </c>
      <c r="W128" s="1"/>
      <c r="X128" s="1">
        <f t="shared" ref="X128:X136" si="75">+P128-T128</f>
        <v>-32.819999999999936</v>
      </c>
      <c r="Y128" s="1"/>
      <c r="Z128" s="5">
        <f t="shared" ref="Z128:Z136" si="76">IF(T128=0,0,X128/T128)</f>
        <v>-2.636144578313248E-2</v>
      </c>
    </row>
    <row r="129" spans="1:26" s="24" customFormat="1" hidden="1" outlineLevel="2" x14ac:dyDescent="0.25">
      <c r="A129" s="27"/>
      <c r="B129" s="11" t="str">
        <f>CONCATENATE("          ", "6234", " - ", "EXPENDABLE SUPPLIES &amp; EQUIPMEN")</f>
        <v xml:space="preserve">          6234 - EXPENDABLE SUPPLIES &amp; EQUIPMEN</v>
      </c>
      <c r="C129" s="11"/>
      <c r="D129" s="6"/>
      <c r="E129" s="2"/>
      <c r="F129" s="7">
        <f t="shared" si="69"/>
        <v>0</v>
      </c>
      <c r="G129" s="2"/>
      <c r="H129" s="6">
        <v>50</v>
      </c>
      <c r="I129" s="2"/>
      <c r="J129" s="7">
        <f t="shared" si="70"/>
        <v>1.3323243197152024E-4</v>
      </c>
      <c r="K129" s="2"/>
      <c r="L129" s="6">
        <f t="shared" si="71"/>
        <v>-50</v>
      </c>
      <c r="M129" s="2"/>
      <c r="N129" s="7">
        <f t="shared" si="72"/>
        <v>-1</v>
      </c>
      <c r="O129" s="11"/>
      <c r="P129" s="6"/>
      <c r="Q129" s="2"/>
      <c r="R129" s="7">
        <f t="shared" si="73"/>
        <v>0</v>
      </c>
      <c r="S129" s="2"/>
      <c r="T129" s="6">
        <v>100</v>
      </c>
      <c r="U129" s="2"/>
      <c r="V129" s="7">
        <f t="shared" si="74"/>
        <v>1.6522507786231793E-4</v>
      </c>
      <c r="W129" s="2"/>
      <c r="X129" s="6">
        <f t="shared" si="75"/>
        <v>-100</v>
      </c>
      <c r="Y129" s="2"/>
      <c r="Z129" s="7">
        <f t="shared" si="76"/>
        <v>-1</v>
      </c>
    </row>
    <row r="130" spans="1:26" s="24" customFormat="1" hidden="1" outlineLevel="2" x14ac:dyDescent="0.25">
      <c r="A130" s="27"/>
      <c r="B130" s="11" t="str">
        <f>CONCATENATE("          ", "6235", " - ", "COVID-19 EXPENSES")</f>
        <v xml:space="preserve">          6235 - COVID-19 EXPENSES</v>
      </c>
      <c r="C130" s="11"/>
      <c r="D130" s="6"/>
      <c r="E130" s="2"/>
      <c r="F130" s="7">
        <f t="shared" si="69"/>
        <v>0</v>
      </c>
      <c r="G130" s="2"/>
      <c r="H130" s="6">
        <v>200</v>
      </c>
      <c r="I130" s="2"/>
      <c r="J130" s="7">
        <f t="shared" si="70"/>
        <v>5.3292972788608096E-4</v>
      </c>
      <c r="K130" s="2"/>
      <c r="L130" s="6">
        <f t="shared" si="71"/>
        <v>-200</v>
      </c>
      <c r="M130" s="2"/>
      <c r="N130" s="7">
        <f t="shared" si="72"/>
        <v>-1</v>
      </c>
      <c r="O130" s="11"/>
      <c r="P130" s="6">
        <v>961.38</v>
      </c>
      <c r="Q130" s="2"/>
      <c r="R130" s="7">
        <f t="shared" si="73"/>
        <v>1.978803026087893E-3</v>
      </c>
      <c r="S130" s="2"/>
      <c r="T130" s="6">
        <v>400</v>
      </c>
      <c r="U130" s="2"/>
      <c r="V130" s="7">
        <f t="shared" si="74"/>
        <v>6.6090031144927172E-4</v>
      </c>
      <c r="W130" s="2"/>
      <c r="X130" s="6">
        <f t="shared" si="75"/>
        <v>561.38</v>
      </c>
      <c r="Y130" s="2"/>
      <c r="Z130" s="7">
        <f t="shared" si="76"/>
        <v>1.4034500000000001</v>
      </c>
    </row>
    <row r="131" spans="1:26" s="24" customFormat="1" hidden="1" outlineLevel="2" x14ac:dyDescent="0.25">
      <c r="A131" s="27"/>
      <c r="B131" s="11" t="str">
        <f>CONCATENATE("          ", "6237", " - ", "JANITORIAL SUPPLIES")</f>
        <v xml:space="preserve">          6237 - JANITORIAL SUPPLIES</v>
      </c>
      <c r="C131" s="11"/>
      <c r="D131" s="6"/>
      <c r="E131" s="2"/>
      <c r="F131" s="7">
        <f t="shared" si="69"/>
        <v>0</v>
      </c>
      <c r="G131" s="2"/>
      <c r="H131" s="6">
        <v>60</v>
      </c>
      <c r="I131" s="2"/>
      <c r="J131" s="7">
        <f t="shared" si="70"/>
        <v>1.5987891836582429E-4</v>
      </c>
      <c r="K131" s="2"/>
      <c r="L131" s="6">
        <f t="shared" si="71"/>
        <v>-60</v>
      </c>
      <c r="M131" s="2"/>
      <c r="N131" s="7">
        <f t="shared" si="72"/>
        <v>-1</v>
      </c>
      <c r="O131" s="11"/>
      <c r="P131" s="6">
        <v>139.31</v>
      </c>
      <c r="Q131" s="2"/>
      <c r="R131" s="7">
        <f t="shared" si="73"/>
        <v>2.8674098646144536E-4</v>
      </c>
      <c r="S131" s="2"/>
      <c r="T131" s="6">
        <v>120</v>
      </c>
      <c r="U131" s="2"/>
      <c r="V131" s="7">
        <f t="shared" si="74"/>
        <v>1.9827009343478154E-4</v>
      </c>
      <c r="W131" s="2"/>
      <c r="X131" s="6">
        <f t="shared" si="75"/>
        <v>19.310000000000002</v>
      </c>
      <c r="Y131" s="2"/>
      <c r="Z131" s="7">
        <f t="shared" si="76"/>
        <v>0.16091666666666668</v>
      </c>
    </row>
    <row r="132" spans="1:26" s="24" customFormat="1" hidden="1" outlineLevel="2" x14ac:dyDescent="0.25">
      <c r="A132" s="27"/>
      <c r="B132" s="11" t="str">
        <f>CONCATENATE("          ", "6241", " - ", "OFFICE EXPENSE")</f>
        <v xml:space="preserve">          6241 - OFFICE EXPENSE</v>
      </c>
      <c r="C132" s="11"/>
      <c r="D132" s="6">
        <v>63.11</v>
      </c>
      <c r="E132" s="2"/>
      <c r="F132" s="7">
        <f t="shared" si="69"/>
        <v>2.028879855785253E-4</v>
      </c>
      <c r="G132" s="2"/>
      <c r="H132" s="6">
        <v>125</v>
      </c>
      <c r="I132" s="2"/>
      <c r="J132" s="7">
        <f t="shared" si="70"/>
        <v>3.330810799288006E-4</v>
      </c>
      <c r="K132" s="2"/>
      <c r="L132" s="6">
        <f t="shared" si="71"/>
        <v>-61.89</v>
      </c>
      <c r="M132" s="2"/>
      <c r="N132" s="7">
        <f t="shared" si="72"/>
        <v>-0.49512</v>
      </c>
      <c r="O132" s="11"/>
      <c r="P132" s="6">
        <v>111.49</v>
      </c>
      <c r="Q132" s="2"/>
      <c r="R132" s="7">
        <f t="shared" si="73"/>
        <v>2.2947923753202599E-4</v>
      </c>
      <c r="S132" s="2"/>
      <c r="T132" s="6">
        <v>250</v>
      </c>
      <c r="U132" s="2"/>
      <c r="V132" s="7">
        <f t="shared" si="74"/>
        <v>4.1306269465579486E-4</v>
      </c>
      <c r="W132" s="2"/>
      <c r="X132" s="6">
        <f t="shared" si="75"/>
        <v>-138.51</v>
      </c>
      <c r="Y132" s="2"/>
      <c r="Z132" s="7">
        <f t="shared" si="76"/>
        <v>-0.55403999999999998</v>
      </c>
    </row>
    <row r="133" spans="1:26" s="24" customFormat="1" hidden="1" outlineLevel="2" x14ac:dyDescent="0.25">
      <c r="A133" s="27"/>
      <c r="B133" s="11" t="str">
        <f>CONCATENATE("          ", "6243", " - ", "PAPER SUPPLIES")</f>
        <v xml:space="preserve">          6243 - PAPER SUPPLIES</v>
      </c>
      <c r="C133" s="11"/>
      <c r="D133" s="6"/>
      <c r="E133" s="2"/>
      <c r="F133" s="7">
        <f t="shared" si="69"/>
        <v>0</v>
      </c>
      <c r="G133" s="2"/>
      <c r="H133" s="6">
        <v>50</v>
      </c>
      <c r="I133" s="2"/>
      <c r="J133" s="7">
        <f t="shared" si="70"/>
        <v>1.3323243197152024E-4</v>
      </c>
      <c r="K133" s="2"/>
      <c r="L133" s="6">
        <f t="shared" si="71"/>
        <v>-50</v>
      </c>
      <c r="M133" s="2"/>
      <c r="N133" s="7">
        <f t="shared" si="72"/>
        <v>-1</v>
      </c>
      <c r="O133" s="11"/>
      <c r="P133" s="6"/>
      <c r="Q133" s="2"/>
      <c r="R133" s="7">
        <f t="shared" si="73"/>
        <v>0</v>
      </c>
      <c r="S133" s="2"/>
      <c r="T133" s="6">
        <v>100</v>
      </c>
      <c r="U133" s="2"/>
      <c r="V133" s="7">
        <f t="shared" si="74"/>
        <v>1.6522507786231793E-4</v>
      </c>
      <c r="W133" s="2"/>
      <c r="X133" s="6">
        <f t="shared" si="75"/>
        <v>-100</v>
      </c>
      <c r="Y133" s="2"/>
      <c r="Z133" s="7">
        <f t="shared" si="76"/>
        <v>-1</v>
      </c>
    </row>
    <row r="134" spans="1:26" s="24" customFormat="1" hidden="1" outlineLevel="2" x14ac:dyDescent="0.25">
      <c r="A134" s="27"/>
      <c r="B134" s="11" t="str">
        <f>CONCATENATE("          ", "6244", " - ", "SAFETY SUPPLY EXPENSE")</f>
        <v xml:space="preserve">          6244 - SAFETY SUPPLY EXPENSE</v>
      </c>
      <c r="C134" s="11"/>
      <c r="D134" s="6"/>
      <c r="E134" s="2"/>
      <c r="F134" s="7">
        <f t="shared" si="69"/>
        <v>0</v>
      </c>
      <c r="G134" s="2"/>
      <c r="H134" s="6">
        <v>0</v>
      </c>
      <c r="I134" s="2"/>
      <c r="J134" s="7">
        <f t="shared" si="70"/>
        <v>0</v>
      </c>
      <c r="K134" s="2"/>
      <c r="L134" s="6">
        <f t="shared" si="71"/>
        <v>0</v>
      </c>
      <c r="M134" s="2"/>
      <c r="N134" s="7">
        <f t="shared" si="72"/>
        <v>0</v>
      </c>
      <c r="O134" s="11"/>
      <c r="P134" s="6"/>
      <c r="Q134" s="2"/>
      <c r="R134" s="7">
        <f t="shared" si="73"/>
        <v>0</v>
      </c>
      <c r="S134" s="2"/>
      <c r="T134" s="6">
        <v>25</v>
      </c>
      <c r="U134" s="2"/>
      <c r="V134" s="7">
        <f t="shared" si="74"/>
        <v>4.1306269465579482E-5</v>
      </c>
      <c r="W134" s="2"/>
      <c r="X134" s="6">
        <f t="shared" si="75"/>
        <v>-25</v>
      </c>
      <c r="Y134" s="2"/>
      <c r="Z134" s="7">
        <f t="shared" si="76"/>
        <v>-1</v>
      </c>
    </row>
    <row r="135" spans="1:26" s="24" customFormat="1" hidden="1" outlineLevel="2" x14ac:dyDescent="0.25">
      <c r="A135" s="27"/>
      <c r="B135" s="11" t="str">
        <f>CONCATENATE("          ", "6245", " - ", "PRINTING")</f>
        <v xml:space="preserve">          6245 - PRINTING</v>
      </c>
      <c r="C135" s="11"/>
      <c r="D135" s="6"/>
      <c r="E135" s="2"/>
      <c r="F135" s="7">
        <f t="shared" si="69"/>
        <v>0</v>
      </c>
      <c r="G135" s="2"/>
      <c r="H135" s="6">
        <v>50</v>
      </c>
      <c r="I135" s="2"/>
      <c r="J135" s="7">
        <f t="shared" si="70"/>
        <v>1.3323243197152024E-4</v>
      </c>
      <c r="K135" s="2"/>
      <c r="L135" s="6">
        <f t="shared" si="71"/>
        <v>-50</v>
      </c>
      <c r="M135" s="2"/>
      <c r="N135" s="7">
        <f t="shared" si="72"/>
        <v>-1</v>
      </c>
      <c r="O135" s="11"/>
      <c r="P135" s="6"/>
      <c r="Q135" s="2"/>
      <c r="R135" s="7">
        <f t="shared" si="73"/>
        <v>0</v>
      </c>
      <c r="S135" s="2"/>
      <c r="T135" s="6">
        <v>100</v>
      </c>
      <c r="U135" s="2"/>
      <c r="V135" s="7">
        <f t="shared" si="74"/>
        <v>1.6522507786231793E-4</v>
      </c>
      <c r="W135" s="2"/>
      <c r="X135" s="6">
        <f t="shared" si="75"/>
        <v>-100</v>
      </c>
      <c r="Y135" s="2"/>
      <c r="Z135" s="7">
        <f t="shared" si="76"/>
        <v>-1</v>
      </c>
    </row>
    <row r="136" spans="1:26" s="24" customFormat="1" hidden="1" outlineLevel="2" x14ac:dyDescent="0.25">
      <c r="A136" s="27"/>
      <c r="B136" s="11" t="str">
        <f>CONCATENATE("          ", "6247", " - ", "STORE SUPPLIES")</f>
        <v xml:space="preserve">          6247 - STORE SUPPLIES</v>
      </c>
      <c r="C136" s="11"/>
      <c r="D136" s="6"/>
      <c r="E136" s="2"/>
      <c r="F136" s="7">
        <f t="shared" si="69"/>
        <v>0</v>
      </c>
      <c r="G136" s="2"/>
      <c r="H136" s="6">
        <v>75</v>
      </c>
      <c r="I136" s="2"/>
      <c r="J136" s="7">
        <f t="shared" si="70"/>
        <v>1.9984864795728036E-4</v>
      </c>
      <c r="K136" s="2"/>
      <c r="L136" s="6">
        <f t="shared" si="71"/>
        <v>-75</v>
      </c>
      <c r="M136" s="2"/>
      <c r="N136" s="7">
        <f t="shared" si="72"/>
        <v>-1</v>
      </c>
      <c r="O136" s="11"/>
      <c r="P136" s="6"/>
      <c r="Q136" s="2"/>
      <c r="R136" s="7">
        <f t="shared" si="73"/>
        <v>0</v>
      </c>
      <c r="S136" s="2"/>
      <c r="T136" s="6">
        <v>150</v>
      </c>
      <c r="U136" s="2"/>
      <c r="V136" s="7">
        <f t="shared" si="74"/>
        <v>2.4783761679347691E-4</v>
      </c>
      <c r="W136" s="2"/>
      <c r="X136" s="6">
        <f t="shared" si="75"/>
        <v>-150</v>
      </c>
      <c r="Y136" s="2"/>
      <c r="Z136" s="7">
        <f t="shared" si="76"/>
        <v>-1</v>
      </c>
    </row>
    <row r="137" spans="1:26" s="29" customFormat="1" outlineLevel="1" collapsed="1" x14ac:dyDescent="0.25">
      <c r="A137" s="28"/>
      <c r="B137" s="14" t="str">
        <f>CONCATENATE("     ","Telephone/Data Lines                              ")</f>
        <v xml:space="preserve">     Telephone/Data Lines                              </v>
      </c>
      <c r="C137" s="14"/>
      <c r="D137" s="1">
        <f>SUM(OSRRefD22_19x_0)</f>
        <v>763.04</v>
      </c>
      <c r="E137" s="1"/>
      <c r="F137" s="5">
        <f t="shared" ref="F137:F139" si="77">IF(D$12=0,0,D137/D$12)</f>
        <v>2.4530446603682134E-3</v>
      </c>
      <c r="G137" s="1"/>
      <c r="H137" s="1">
        <f>SUM(OSRRefH22_19x_0)</f>
        <v>830</v>
      </c>
      <c r="I137" s="1"/>
      <c r="J137" s="5">
        <f t="shared" ref="J137:J139" si="78">IF(H$12=0,0,H137/H$12)</f>
        <v>2.2116583707272358E-3</v>
      </c>
      <c r="K137" s="1"/>
      <c r="L137" s="1">
        <f t="shared" ref="L137:L139" si="79">+D137-H137</f>
        <v>-66.960000000000036</v>
      </c>
      <c r="M137" s="1"/>
      <c r="N137" s="5">
        <f t="shared" ref="N137:N139" si="80">IF(H137=0,0,L137/H137)</f>
        <v>-8.0674698795180771E-2</v>
      </c>
      <c r="O137" s="14"/>
      <c r="P137" s="1">
        <f>SUM(OSRRefP22_19x_0)</f>
        <v>1555.58</v>
      </c>
      <c r="Q137" s="1"/>
      <c r="R137" s="5">
        <f t="shared" ref="R137:R139" si="81">IF(P$12=0,0,P137/P$12)</f>
        <v>3.2018415312590276E-3</v>
      </c>
      <c r="S137" s="1"/>
      <c r="T137" s="1">
        <f>SUM(OSRRefT22_19x_0)</f>
        <v>1660</v>
      </c>
      <c r="U137" s="1"/>
      <c r="V137" s="5">
        <f t="shared" ref="V137:V139" si="82">IF(T$12=0,0,T137/T$12)</f>
        <v>2.7427362925144779E-3</v>
      </c>
      <c r="W137" s="1"/>
      <c r="X137" s="1">
        <f t="shared" ref="X137:X139" si="83">+P137-T137</f>
        <v>-104.42000000000007</v>
      </c>
      <c r="Y137" s="1"/>
      <c r="Z137" s="5">
        <f t="shared" ref="Z137:Z139" si="84">IF(T137=0,0,X137/T137)</f>
        <v>-6.2903614457831367E-2</v>
      </c>
    </row>
    <row r="138" spans="1:26" s="24" customFormat="1" hidden="1" outlineLevel="2" x14ac:dyDescent="0.25">
      <c r="A138" s="27"/>
      <c r="B138" s="11" t="str">
        <f>CONCATENATE("          ", "6303", " - ", "DATA PHONE LINES")</f>
        <v xml:space="preserve">          6303 - DATA PHONE LINES</v>
      </c>
      <c r="C138" s="11"/>
      <c r="D138" s="6"/>
      <c r="E138" s="2"/>
      <c r="F138" s="7">
        <f t="shared" si="77"/>
        <v>0</v>
      </c>
      <c r="G138" s="2"/>
      <c r="H138" s="6">
        <v>230</v>
      </c>
      <c r="I138" s="2"/>
      <c r="J138" s="7">
        <f t="shared" si="78"/>
        <v>6.1286918706899304E-4</v>
      </c>
      <c r="K138" s="2"/>
      <c r="L138" s="6">
        <f t="shared" si="79"/>
        <v>-230</v>
      </c>
      <c r="M138" s="2"/>
      <c r="N138" s="7">
        <f t="shared" si="80"/>
        <v>-1</v>
      </c>
      <c r="O138" s="11"/>
      <c r="P138" s="6"/>
      <c r="Q138" s="2"/>
      <c r="R138" s="7">
        <f t="shared" si="81"/>
        <v>0</v>
      </c>
      <c r="S138" s="2"/>
      <c r="T138" s="6">
        <v>460</v>
      </c>
      <c r="U138" s="2"/>
      <c r="V138" s="7">
        <f t="shared" si="82"/>
        <v>7.600353581666625E-4</v>
      </c>
      <c r="W138" s="2"/>
      <c r="X138" s="6">
        <f t="shared" si="83"/>
        <v>-460</v>
      </c>
      <c r="Y138" s="2"/>
      <c r="Z138" s="7">
        <f t="shared" si="84"/>
        <v>-1</v>
      </c>
    </row>
    <row r="139" spans="1:26" s="24" customFormat="1" hidden="1" outlineLevel="2" x14ac:dyDescent="0.25">
      <c r="A139" s="27"/>
      <c r="B139" s="11" t="str">
        <f>CONCATENATE("          ", "6309", " - ", "TELEPHONE")</f>
        <v xml:space="preserve">          6309 - TELEPHONE</v>
      </c>
      <c r="C139" s="11"/>
      <c r="D139" s="6">
        <v>763.04</v>
      </c>
      <c r="E139" s="2"/>
      <c r="F139" s="7">
        <f t="shared" si="77"/>
        <v>2.4530446603682134E-3</v>
      </c>
      <c r="G139" s="2"/>
      <c r="H139" s="6">
        <v>600</v>
      </c>
      <c r="I139" s="2"/>
      <c r="J139" s="7">
        <f t="shared" si="78"/>
        <v>1.5987891836582429E-3</v>
      </c>
      <c r="K139" s="2"/>
      <c r="L139" s="6">
        <f t="shared" si="79"/>
        <v>163.03999999999996</v>
      </c>
      <c r="M139" s="2"/>
      <c r="N139" s="7">
        <f t="shared" si="80"/>
        <v>0.27173333333333327</v>
      </c>
      <c r="O139" s="11"/>
      <c r="P139" s="6">
        <v>1555.58</v>
      </c>
      <c r="Q139" s="2"/>
      <c r="R139" s="7">
        <f t="shared" si="81"/>
        <v>3.2018415312590276E-3</v>
      </c>
      <c r="S139" s="2"/>
      <c r="T139" s="6">
        <v>1200</v>
      </c>
      <c r="U139" s="2"/>
      <c r="V139" s="7">
        <f t="shared" si="82"/>
        <v>1.9827009343478153E-3</v>
      </c>
      <c r="W139" s="2"/>
      <c r="X139" s="6">
        <f t="shared" si="83"/>
        <v>355.57999999999993</v>
      </c>
      <c r="Y139" s="2"/>
      <c r="Z139" s="7">
        <f t="shared" si="84"/>
        <v>0.29631666666666662</v>
      </c>
    </row>
    <row r="140" spans="1:26" s="29" customFormat="1" outlineLevel="1" collapsed="1" x14ac:dyDescent="0.25">
      <c r="A140" s="28"/>
      <c r="B140" s="14" t="str">
        <f>CONCATENATE("     ","Training                                          ")</f>
        <v xml:space="preserve">     Training                                          </v>
      </c>
      <c r="C140" s="14"/>
      <c r="D140" s="1">
        <f>SUM(OSRRefD22_20x_0)</f>
        <v>0</v>
      </c>
      <c r="E140" s="1"/>
      <c r="F140" s="5">
        <f t="shared" ref="F140:F144" si="85">IF(D$12=0,0,D140/D$12)</f>
        <v>0</v>
      </c>
      <c r="G140" s="1"/>
      <c r="H140" s="1">
        <f>SUM(OSRRefH22_20x_0)</f>
        <v>0</v>
      </c>
      <c r="I140" s="1"/>
      <c r="J140" s="5">
        <f t="shared" ref="J140:J144" si="86">IF(H$12=0,0,H140/H$12)</f>
        <v>0</v>
      </c>
      <c r="K140" s="1"/>
      <c r="L140" s="1">
        <f t="shared" ref="L140:L144" si="87">+D140-H140</f>
        <v>0</v>
      </c>
      <c r="M140" s="1"/>
      <c r="N140" s="5">
        <f t="shared" ref="N140:N144" si="88">IF(H140=0,0,L140/H140)</f>
        <v>0</v>
      </c>
      <c r="O140" s="14"/>
      <c r="P140" s="1">
        <f>SUM(OSRRefP22_20x_0)</f>
        <v>0</v>
      </c>
      <c r="Q140" s="1"/>
      <c r="R140" s="5">
        <f t="shared" ref="R140:R144" si="89">IF(P$12=0,0,P140/P$12)</f>
        <v>0</v>
      </c>
      <c r="S140" s="1"/>
      <c r="T140" s="1">
        <f>SUM(OSRRefT22_20x_0)</f>
        <v>0</v>
      </c>
      <c r="U140" s="1"/>
      <c r="V140" s="5">
        <f t="shared" ref="V140:V144" si="90">IF(T$12=0,0,T140/T$12)</f>
        <v>0</v>
      </c>
      <c r="W140" s="1"/>
      <c r="X140" s="1">
        <f t="shared" ref="X140:X144" si="91">+P140-T140</f>
        <v>0</v>
      </c>
      <c r="Y140" s="1"/>
      <c r="Z140" s="5">
        <f t="shared" ref="Z140:Z144" si="92">IF(T140=0,0,X140/T140)</f>
        <v>0</v>
      </c>
    </row>
    <row r="141" spans="1:26" s="24" customFormat="1" hidden="1" outlineLevel="2" x14ac:dyDescent="0.25">
      <c r="A141" s="27"/>
      <c r="B141" s="11" t="str">
        <f>CONCATENATE("          ", "6376", " - ", "TRAINING")</f>
        <v xml:space="preserve">          6376 - TRAINING</v>
      </c>
      <c r="C141" s="11"/>
      <c r="D141" s="6"/>
      <c r="E141" s="2"/>
      <c r="F141" s="7">
        <f t="shared" si="85"/>
        <v>0</v>
      </c>
      <c r="G141" s="2"/>
      <c r="H141" s="6">
        <v>0</v>
      </c>
      <c r="I141" s="2"/>
      <c r="J141" s="7">
        <f t="shared" si="86"/>
        <v>0</v>
      </c>
      <c r="K141" s="2"/>
      <c r="L141" s="6">
        <f t="shared" si="87"/>
        <v>0</v>
      </c>
      <c r="M141" s="2"/>
      <c r="N141" s="7">
        <f t="shared" si="88"/>
        <v>0</v>
      </c>
      <c r="O141" s="11"/>
      <c r="P141" s="6"/>
      <c r="Q141" s="2"/>
      <c r="R141" s="7">
        <f t="shared" si="89"/>
        <v>0</v>
      </c>
      <c r="S141" s="2"/>
      <c r="T141" s="6">
        <v>0</v>
      </c>
      <c r="U141" s="2"/>
      <c r="V141" s="7">
        <f t="shared" si="90"/>
        <v>0</v>
      </c>
      <c r="W141" s="2"/>
      <c r="X141" s="6">
        <f t="shared" si="91"/>
        <v>0</v>
      </c>
      <c r="Y141" s="2"/>
      <c r="Z141" s="7">
        <f t="shared" si="92"/>
        <v>0</v>
      </c>
    </row>
    <row r="142" spans="1:26" s="29" customFormat="1" outlineLevel="1" collapsed="1" x14ac:dyDescent="0.25">
      <c r="A142" s="28"/>
      <c r="B142" s="14" t="str">
        <f>CONCATENATE("     ","Travel                                            ")</f>
        <v xml:space="preserve">     Travel                                            </v>
      </c>
      <c r="C142" s="14"/>
      <c r="D142" s="1">
        <f>SUM(OSRRefD22_21x_0)</f>
        <v>25.76</v>
      </c>
      <c r="E142" s="1"/>
      <c r="F142" s="5">
        <f t="shared" si="85"/>
        <v>8.2814047036964218E-5</v>
      </c>
      <c r="G142" s="1"/>
      <c r="H142" s="1">
        <f>SUM(OSRRefH22_21x_0)</f>
        <v>50</v>
      </c>
      <c r="I142" s="1"/>
      <c r="J142" s="5">
        <f t="shared" si="86"/>
        <v>1.3323243197152024E-4</v>
      </c>
      <c r="K142" s="1"/>
      <c r="L142" s="1">
        <f t="shared" si="87"/>
        <v>-24.24</v>
      </c>
      <c r="M142" s="1"/>
      <c r="N142" s="5">
        <f t="shared" si="88"/>
        <v>-0.48479999999999995</v>
      </c>
      <c r="O142" s="14"/>
      <c r="P142" s="1">
        <f>SUM(OSRRefP22_21x_0)</f>
        <v>240.92</v>
      </c>
      <c r="Q142" s="1"/>
      <c r="R142" s="5">
        <f t="shared" si="89"/>
        <v>4.9588427577554675E-4</v>
      </c>
      <c r="S142" s="1"/>
      <c r="T142" s="1">
        <f>SUM(OSRRefT22_21x_0)</f>
        <v>100</v>
      </c>
      <c r="U142" s="1"/>
      <c r="V142" s="5">
        <f t="shared" si="90"/>
        <v>1.6522507786231793E-4</v>
      </c>
      <c r="W142" s="1"/>
      <c r="X142" s="1">
        <f t="shared" si="91"/>
        <v>140.91999999999999</v>
      </c>
      <c r="Y142" s="1"/>
      <c r="Z142" s="5">
        <f t="shared" si="92"/>
        <v>1.4091999999999998</v>
      </c>
    </row>
    <row r="143" spans="1:26" s="24" customFormat="1" hidden="1" outlineLevel="2" x14ac:dyDescent="0.25">
      <c r="A143" s="27"/>
      <c r="B143" s="11" t="str">
        <f>CONCATENATE("          ", "6294", " - ", "TRAVEL OPERATIONAL")</f>
        <v xml:space="preserve">          6294 - TRAVEL OPERATIONAL</v>
      </c>
      <c r="C143" s="11"/>
      <c r="D143" s="6">
        <v>25.76</v>
      </c>
      <c r="E143" s="2"/>
      <c r="F143" s="7">
        <f t="shared" si="85"/>
        <v>8.2814047036964218E-5</v>
      </c>
      <c r="G143" s="2"/>
      <c r="H143" s="6">
        <v>25</v>
      </c>
      <c r="I143" s="2"/>
      <c r="J143" s="7">
        <f t="shared" si="86"/>
        <v>6.6616215985760121E-5</v>
      </c>
      <c r="K143" s="2"/>
      <c r="L143" s="6">
        <f t="shared" si="87"/>
        <v>0.76000000000000156</v>
      </c>
      <c r="M143" s="2"/>
      <c r="N143" s="7">
        <f t="shared" si="88"/>
        <v>3.0400000000000062E-2</v>
      </c>
      <c r="O143" s="11"/>
      <c r="P143" s="6">
        <v>240.92</v>
      </c>
      <c r="Q143" s="2"/>
      <c r="R143" s="7">
        <f t="shared" si="89"/>
        <v>4.9588427577554675E-4</v>
      </c>
      <c r="S143" s="2"/>
      <c r="T143" s="6">
        <v>50</v>
      </c>
      <c r="U143" s="2"/>
      <c r="V143" s="7">
        <f t="shared" si="90"/>
        <v>8.2612538931158965E-5</v>
      </c>
      <c r="W143" s="2"/>
      <c r="X143" s="6">
        <f t="shared" si="91"/>
        <v>190.92</v>
      </c>
      <c r="Y143" s="2"/>
      <c r="Z143" s="7">
        <f t="shared" si="92"/>
        <v>3.8183999999999996</v>
      </c>
    </row>
    <row r="144" spans="1:26" s="24" customFormat="1" hidden="1" outlineLevel="2" x14ac:dyDescent="0.25">
      <c r="A144" s="27"/>
      <c r="B144" s="11" t="str">
        <f>CONCATENATE("          ", "6298", " - ", "VEHICLE MILEAGE")</f>
        <v xml:space="preserve">          6298 - VEHICLE MILEAGE</v>
      </c>
      <c r="C144" s="11"/>
      <c r="D144" s="6"/>
      <c r="E144" s="2"/>
      <c r="F144" s="7">
        <f t="shared" si="85"/>
        <v>0</v>
      </c>
      <c r="G144" s="2"/>
      <c r="H144" s="6">
        <v>25</v>
      </c>
      <c r="I144" s="2"/>
      <c r="J144" s="7">
        <f t="shared" si="86"/>
        <v>6.6616215985760121E-5</v>
      </c>
      <c r="K144" s="2"/>
      <c r="L144" s="6">
        <f t="shared" si="87"/>
        <v>-25</v>
      </c>
      <c r="M144" s="2"/>
      <c r="N144" s="7">
        <f t="shared" si="88"/>
        <v>-1</v>
      </c>
      <c r="O144" s="11"/>
      <c r="P144" s="6"/>
      <c r="Q144" s="2"/>
      <c r="R144" s="7">
        <f t="shared" si="89"/>
        <v>0</v>
      </c>
      <c r="S144" s="2"/>
      <c r="T144" s="6">
        <v>50</v>
      </c>
      <c r="U144" s="2"/>
      <c r="V144" s="7">
        <f t="shared" si="90"/>
        <v>8.2612538931158965E-5</v>
      </c>
      <c r="W144" s="2"/>
      <c r="X144" s="6">
        <f t="shared" si="91"/>
        <v>-50</v>
      </c>
      <c r="Y144" s="2"/>
      <c r="Z144" s="7">
        <f t="shared" si="92"/>
        <v>-1</v>
      </c>
    </row>
    <row r="145" spans="1:26" s="29" customFormat="1" outlineLevel="1" collapsed="1" x14ac:dyDescent="0.25">
      <c r="A145" s="28"/>
      <c r="B145" s="14" t="str">
        <f>CONCATENATE("     ","Utilities                                         ")</f>
        <v xml:space="preserve">     Utilities                                         </v>
      </c>
      <c r="C145" s="14"/>
      <c r="D145" s="1">
        <f>SUM(OSRRefD22_22x_0)</f>
        <v>11.89</v>
      </c>
      <c r="E145" s="1"/>
      <c r="F145" s="5">
        <f t="shared" ref="F145:F146" si="93">IF(D$12=0,0,D145/D$12)</f>
        <v>3.8224340810151576E-5</v>
      </c>
      <c r="G145" s="1"/>
      <c r="H145" s="1">
        <f>SUM(OSRRefH22_22x_0)</f>
        <v>105</v>
      </c>
      <c r="I145" s="1"/>
      <c r="J145" s="5">
        <f t="shared" ref="J145:J146" si="94">IF(H$12=0,0,H145/H$12)</f>
        <v>2.797881071401925E-4</v>
      </c>
      <c r="K145" s="1"/>
      <c r="L145" s="1">
        <f t="shared" ref="L145:L146" si="95">+D145-H145</f>
        <v>-93.11</v>
      </c>
      <c r="M145" s="1"/>
      <c r="N145" s="5">
        <f t="shared" ref="N145:N146" si="96">IF(H145=0,0,L145/H145)</f>
        <v>-0.88676190476190475</v>
      </c>
      <c r="O145" s="14"/>
      <c r="P145" s="1">
        <f>SUM(OSRRefP22_22x_0)</f>
        <v>40.35</v>
      </c>
      <c r="Q145" s="1"/>
      <c r="R145" s="5">
        <f t="shared" ref="R145:R146" si="97">IF(P$12=0,0,P145/P$12)</f>
        <v>8.3052177185552516E-5</v>
      </c>
      <c r="S145" s="1"/>
      <c r="T145" s="1">
        <f>SUM(OSRRefT22_22x_0)</f>
        <v>210</v>
      </c>
      <c r="U145" s="1"/>
      <c r="V145" s="5">
        <f t="shared" ref="V145:V146" si="98">IF(T$12=0,0,T145/T$12)</f>
        <v>3.4697266351086769E-4</v>
      </c>
      <c r="W145" s="1"/>
      <c r="X145" s="1">
        <f t="shared" ref="X145:X146" si="99">+P145-T145</f>
        <v>-169.65</v>
      </c>
      <c r="Y145" s="1"/>
      <c r="Z145" s="5">
        <f t="shared" ref="Z145:Z146" si="100">IF(T145=0,0,X145/T145)</f>
        <v>-0.80785714285714283</v>
      </c>
    </row>
    <row r="146" spans="1:26" s="24" customFormat="1" hidden="1" outlineLevel="2" x14ac:dyDescent="0.25">
      <c r="A146" s="27"/>
      <c r="B146" s="11" t="str">
        <f>CONCATENATE("          ", "6274", " - ", "UTILITIES")</f>
        <v xml:space="preserve">          6274 - UTILITIES</v>
      </c>
      <c r="C146" s="11"/>
      <c r="D146" s="6">
        <v>11.89</v>
      </c>
      <c r="E146" s="2"/>
      <c r="F146" s="7">
        <f t="shared" si="93"/>
        <v>3.8224340810151576E-5</v>
      </c>
      <c r="G146" s="2"/>
      <c r="H146" s="6">
        <v>105</v>
      </c>
      <c r="I146" s="2"/>
      <c r="J146" s="7">
        <f t="shared" si="94"/>
        <v>2.797881071401925E-4</v>
      </c>
      <c r="K146" s="2"/>
      <c r="L146" s="6">
        <f t="shared" si="95"/>
        <v>-93.11</v>
      </c>
      <c r="M146" s="2"/>
      <c r="N146" s="7">
        <f t="shared" si="96"/>
        <v>-0.88676190476190475</v>
      </c>
      <c r="O146" s="11"/>
      <c r="P146" s="6">
        <v>40.35</v>
      </c>
      <c r="Q146" s="2"/>
      <c r="R146" s="7">
        <f t="shared" si="97"/>
        <v>8.3052177185552516E-5</v>
      </c>
      <c r="S146" s="2"/>
      <c r="T146" s="6">
        <v>210</v>
      </c>
      <c r="U146" s="2"/>
      <c r="V146" s="7">
        <f t="shared" si="98"/>
        <v>3.4697266351086769E-4</v>
      </c>
      <c r="W146" s="2"/>
      <c r="X146" s="6">
        <f t="shared" si="99"/>
        <v>-169.65</v>
      </c>
      <c r="Y146" s="2"/>
      <c r="Z146" s="7">
        <f t="shared" si="100"/>
        <v>-0.80785714285714283</v>
      </c>
    </row>
    <row r="147" spans="1:26" s="61" customFormat="1" x14ac:dyDescent="0.25">
      <c r="A147" s="36"/>
      <c r="B147" s="36"/>
      <c r="C147" s="36"/>
      <c r="D147" s="1"/>
      <c r="E147" s="1"/>
      <c r="F147" s="5"/>
      <c r="G147" s="1"/>
      <c r="H147" s="1"/>
      <c r="I147" s="1"/>
      <c r="J147" s="5"/>
      <c r="K147" s="1"/>
      <c r="L147" s="1"/>
      <c r="M147" s="1"/>
      <c r="N147" s="5"/>
      <c r="O147" s="36"/>
      <c r="P147" s="1"/>
      <c r="Q147" s="1"/>
      <c r="R147" s="5"/>
      <c r="S147" s="1"/>
      <c r="T147" s="1"/>
      <c r="U147" s="1"/>
      <c r="V147" s="5"/>
      <c r="W147" s="1"/>
      <c r="X147" s="1"/>
      <c r="Y147" s="1"/>
      <c r="Z147" s="5"/>
    </row>
    <row r="148" spans="1:26" s="22" customFormat="1" collapsed="1" x14ac:dyDescent="0.25">
      <c r="A148" s="10"/>
      <c r="B148" s="25" t="s">
        <v>0</v>
      </c>
      <c r="C148" s="10"/>
      <c r="D148" s="4">
        <f>SUM(OSRRefD25x_0)</f>
        <v>0</v>
      </c>
      <c r="E148" s="4"/>
      <c r="F148" s="12">
        <f t="shared" ref="F148:F151" si="101">IF(D$12=0,0,D148/D$12)</f>
        <v>0</v>
      </c>
      <c r="G148" s="4"/>
      <c r="H148" s="4">
        <f>SUM(OSRRefH25x_0)</f>
        <v>8075</v>
      </c>
      <c r="I148" s="4"/>
      <c r="J148" s="12">
        <f t="shared" ref="J148:J151" si="102">IF(H$12=0,0,H148/H$12)</f>
        <v>2.1517037763400519E-2</v>
      </c>
      <c r="K148" s="4"/>
      <c r="L148" s="4">
        <f t="shared" ref="L148:L151" si="103">+D148-H148</f>
        <v>-8075</v>
      </c>
      <c r="M148" s="4"/>
      <c r="N148" s="12">
        <f t="shared" ref="N148:N151" si="104">IF(H148=0,0,L148/H148)</f>
        <v>-1</v>
      </c>
      <c r="O148" s="10"/>
      <c r="P148" s="4">
        <f>SUM(OSRRefP25x_0)</f>
        <v>172008.31</v>
      </c>
      <c r="Q148" s="4"/>
      <c r="R148" s="12">
        <f t="shared" ref="R148:R151" si="105">IF(P$12=0,0,P148/P$12)</f>
        <v>0.35404373332112626</v>
      </c>
      <c r="S148" s="4"/>
      <c r="T148" s="4">
        <f>SUM(OSRRefT25x_0)</f>
        <v>16150</v>
      </c>
      <c r="U148" s="4"/>
      <c r="V148" s="12">
        <f t="shared" ref="V148:V151" si="106">IF(T$12=0,0,T148/T$12)</f>
        <v>2.6683850074764346E-2</v>
      </c>
      <c r="W148" s="4"/>
      <c r="X148" s="4">
        <f t="shared" ref="X148:X151" si="107">+P148-T148</f>
        <v>155858.31</v>
      </c>
      <c r="Y148" s="4"/>
      <c r="Z148" s="12">
        <f t="shared" ref="Z148:Z151" si="108">IF(T148=0,0,X148/T148)</f>
        <v>9.6506693498452005</v>
      </c>
    </row>
    <row r="149" spans="1:26" s="24" customFormat="1" hidden="1" outlineLevel="1" x14ac:dyDescent="0.25">
      <c r="A149" s="51"/>
      <c r="B149" s="11" t="str">
        <f>CONCATENATE("          ", "9150", " - ", "MISC. INCOME")</f>
        <v xml:space="preserve">          9150 - MISC. INCOME</v>
      </c>
      <c r="C149" s="11"/>
      <c r="D149" s="2">
        <f t="shared" ref="D149:D151" si="109">0</f>
        <v>0</v>
      </c>
      <c r="E149" s="2"/>
      <c r="F149" s="23">
        <f t="shared" si="101"/>
        <v>0</v>
      </c>
      <c r="G149" s="2"/>
      <c r="H149" s="2">
        <v>8075</v>
      </c>
      <c r="I149" s="2"/>
      <c r="J149" s="23">
        <f t="shared" si="102"/>
        <v>2.1517037763400519E-2</v>
      </c>
      <c r="K149" s="2"/>
      <c r="L149" s="2">
        <f t="shared" si="103"/>
        <v>-8075</v>
      </c>
      <c r="M149" s="2"/>
      <c r="N149" s="23">
        <f t="shared" si="104"/>
        <v>-1</v>
      </c>
      <c r="O149" s="11"/>
      <c r="P149" s="2">
        <f>--11344.41</f>
        <v>11344.41</v>
      </c>
      <c r="Q149" s="2"/>
      <c r="R149" s="23">
        <f t="shared" si="105"/>
        <v>2.3350135052925745E-2</v>
      </c>
      <c r="S149" s="2"/>
      <c r="T149" s="2">
        <v>16150</v>
      </c>
      <c r="U149" s="2"/>
      <c r="V149" s="23">
        <f t="shared" si="106"/>
        <v>2.6683850074764346E-2</v>
      </c>
      <c r="W149" s="2"/>
      <c r="X149" s="2">
        <f t="shared" si="107"/>
        <v>-4805.59</v>
      </c>
      <c r="Y149" s="2"/>
      <c r="Z149" s="23">
        <f t="shared" si="108"/>
        <v>-0.29755975232198145</v>
      </c>
    </row>
    <row r="150" spans="1:26" s="24" customFormat="1" hidden="1" outlineLevel="1" x14ac:dyDescent="0.25">
      <c r="A150" s="51"/>
      <c r="B150" s="11" t="str">
        <f>CONCATENATE("          ", "9151", " - ", "MISC. INCOME")</f>
        <v xml:space="preserve">          9151 - MISC. INCOME</v>
      </c>
      <c r="C150" s="11"/>
      <c r="D150" s="2">
        <f t="shared" si="109"/>
        <v>0</v>
      </c>
      <c r="E150" s="2"/>
      <c r="F150" s="23">
        <f t="shared" si="101"/>
        <v>0</v>
      </c>
      <c r="G150" s="2"/>
      <c r="H150" s="2">
        <v>0</v>
      </c>
      <c r="I150" s="2"/>
      <c r="J150" s="23">
        <f t="shared" si="102"/>
        <v>0</v>
      </c>
      <c r="K150" s="2"/>
      <c r="L150" s="2">
        <f t="shared" si="103"/>
        <v>0</v>
      </c>
      <c r="M150" s="2"/>
      <c r="N150" s="23">
        <f t="shared" si="104"/>
        <v>0</v>
      </c>
      <c r="O150" s="11"/>
      <c r="P150" s="2">
        <f>0</f>
        <v>0</v>
      </c>
      <c r="Q150" s="2"/>
      <c r="R150" s="23">
        <f t="shared" si="105"/>
        <v>0</v>
      </c>
      <c r="S150" s="2"/>
      <c r="T150" s="2">
        <v>0</v>
      </c>
      <c r="U150" s="2"/>
      <c r="V150" s="23">
        <f t="shared" si="106"/>
        <v>0</v>
      </c>
      <c r="W150" s="2"/>
      <c r="X150" s="2">
        <f t="shared" si="107"/>
        <v>0</v>
      </c>
      <c r="Y150" s="2"/>
      <c r="Z150" s="23">
        <f t="shared" si="108"/>
        <v>0</v>
      </c>
    </row>
    <row r="151" spans="1:26" s="24" customFormat="1" hidden="1" outlineLevel="1" x14ac:dyDescent="0.25">
      <c r="A151" s="51"/>
      <c r="B151" s="11" t="str">
        <f>CONCATENATE("          ", "9163", " - ", "MISC. INCOME")</f>
        <v xml:space="preserve">          9163 - MISC. INCOME</v>
      </c>
      <c r="C151" s="11"/>
      <c r="D151" s="2">
        <f t="shared" si="109"/>
        <v>0</v>
      </c>
      <c r="E151" s="2"/>
      <c r="F151" s="23">
        <f t="shared" si="101"/>
        <v>0</v>
      </c>
      <c r="G151" s="2"/>
      <c r="H151" s="2"/>
      <c r="I151" s="2"/>
      <c r="J151" s="23">
        <f t="shared" si="102"/>
        <v>0</v>
      </c>
      <c r="K151" s="2"/>
      <c r="L151" s="2">
        <f t="shared" si="103"/>
        <v>0</v>
      </c>
      <c r="M151" s="2"/>
      <c r="N151" s="23">
        <f t="shared" si="104"/>
        <v>0</v>
      </c>
      <c r="O151" s="11"/>
      <c r="P151" s="2">
        <f>--160663.9</f>
        <v>160663.9</v>
      </c>
      <c r="Q151" s="2"/>
      <c r="R151" s="23">
        <f t="shared" si="105"/>
        <v>0.33069359826820049</v>
      </c>
      <c r="S151" s="2"/>
      <c r="T151" s="2"/>
      <c r="U151" s="2"/>
      <c r="V151" s="23">
        <f t="shared" si="106"/>
        <v>0</v>
      </c>
      <c r="W151" s="2"/>
      <c r="X151" s="2">
        <f t="shared" si="107"/>
        <v>160663.9</v>
      </c>
      <c r="Y151" s="2"/>
      <c r="Z151" s="23">
        <f t="shared" si="108"/>
        <v>0</v>
      </c>
    </row>
    <row r="152" spans="1:26" x14ac:dyDescent="0.25">
      <c r="A152" s="9"/>
      <c r="B152" s="10"/>
      <c r="C152" s="10"/>
      <c r="D152" s="3"/>
      <c r="E152" s="3"/>
      <c r="F152" s="8"/>
      <c r="G152" s="3"/>
      <c r="H152" s="3"/>
      <c r="I152" s="3"/>
      <c r="J152" s="8"/>
      <c r="K152" s="3"/>
      <c r="L152" s="3"/>
      <c r="M152" s="3"/>
      <c r="N152" s="8"/>
      <c r="O152" s="10"/>
      <c r="P152" s="3"/>
      <c r="Q152" s="3"/>
      <c r="R152" s="8"/>
      <c r="S152" s="3"/>
      <c r="T152" s="3"/>
      <c r="U152" s="3"/>
      <c r="V152" s="8"/>
      <c r="W152" s="3"/>
      <c r="X152" s="3"/>
      <c r="Y152" s="3"/>
      <c r="Z152" s="8"/>
    </row>
    <row r="153" spans="1:26" s="22" customFormat="1" x14ac:dyDescent="0.25">
      <c r="A153" s="10"/>
      <c r="B153" s="26" t="s">
        <v>3</v>
      </c>
      <c r="C153" s="26"/>
      <c r="D153" s="21">
        <f>+D65-D67+D148</f>
        <v>52538.749999999927</v>
      </c>
      <c r="E153" s="13"/>
      <c r="F153" s="20">
        <f>IF(D$12=0,0,D153/D$12)</f>
        <v>0.16890320317404106</v>
      </c>
      <c r="G153" s="13"/>
      <c r="H153" s="21">
        <f>+H65-H67+H148</f>
        <v>83817.276698076952</v>
      </c>
      <c r="I153" s="13"/>
      <c r="J153" s="20">
        <f>IF(H$12=0,0,H153/H$12)</f>
        <v>0.22334359231429252</v>
      </c>
      <c r="K153" s="16"/>
      <c r="L153" s="21">
        <f>+D153-H153</f>
        <v>-31278.526698077025</v>
      </c>
      <c r="M153" s="16"/>
      <c r="N153" s="20">
        <f>IF(H153=0,0,L153/H153)</f>
        <v>-0.37317517259296329</v>
      </c>
      <c r="O153" s="25"/>
      <c r="P153" s="21">
        <f>+P65-P67+P148</f>
        <v>226005.47999999992</v>
      </c>
      <c r="Q153" s="13"/>
      <c r="R153" s="20">
        <f>IF(P$12=0,0,P153/P$12)</f>
        <v>0.46518580346631572</v>
      </c>
      <c r="S153" s="13"/>
      <c r="T153" s="21">
        <f>+T65-T67+T148</f>
        <v>91587.090231923095</v>
      </c>
      <c r="U153" s="13"/>
      <c r="V153" s="20">
        <f>IF(T$12=0,0,T153/T$12)</f>
        <v>0.15132484114752631</v>
      </c>
      <c r="W153" s="16"/>
      <c r="X153" s="21">
        <f>+P153-T153</f>
        <v>134418.38976807683</v>
      </c>
      <c r="Y153" s="16"/>
      <c r="Z153" s="20">
        <f>IF(T153=0,0,X153/T153)</f>
        <v>1.4676565160842361</v>
      </c>
    </row>
    <row r="154" spans="1:26" x14ac:dyDescent="0.25">
      <c r="A154" s="9"/>
      <c r="B154" s="10"/>
      <c r="C154" s="9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2" customFormat="1" x14ac:dyDescent="0.25">
      <c r="A155" s="52"/>
      <c r="B155" s="10" t="s">
        <v>14</v>
      </c>
      <c r="C155" s="10"/>
      <c r="D155" s="4">
        <v>-6819.83</v>
      </c>
      <c r="E155" s="4"/>
      <c r="F155" s="12">
        <f>IF(D$12=0,0,D155/D$12)</f>
        <v>-2.1924601025003869E-2</v>
      </c>
      <c r="G155" s="4"/>
      <c r="H155" s="4">
        <v>-12863</v>
      </c>
      <c r="I155" s="4"/>
      <c r="J155" s="12">
        <f>IF(H$12=0,0,H155/H$12)</f>
        <v>-3.4275375448993298E-2</v>
      </c>
      <c r="K155" s="4"/>
      <c r="L155" s="4">
        <f>+D155-H155</f>
        <v>6043.17</v>
      </c>
      <c r="M155" s="4"/>
      <c r="N155" s="12">
        <f>IF(H155=0,0,L155/H155)</f>
        <v>-0.46981030863717638</v>
      </c>
      <c r="O155" s="10"/>
      <c r="P155" s="4">
        <v>82027.490000000005</v>
      </c>
      <c r="Q155" s="4"/>
      <c r="R155" s="12">
        <f>IF(P$12=0,0,P155/P$12)</f>
        <v>0.16883671954315085</v>
      </c>
      <c r="S155" s="4"/>
      <c r="T155" s="4">
        <v>98837</v>
      </c>
      <c r="U155" s="4"/>
      <c r="V155" s="12">
        <f>IF(T$12=0,0,T155/T$12)</f>
        <v>0.16330351020677919</v>
      </c>
      <c r="W155" s="4"/>
      <c r="X155" s="4">
        <f>+P155-T155</f>
        <v>-16809.509999999995</v>
      </c>
      <c r="Y155" s="4"/>
      <c r="Z155" s="12">
        <f>IF(T155=0,0,X155/T155)</f>
        <v>-0.17007304956645786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2" customFormat="1" ht="15.75" thickBot="1" x14ac:dyDescent="0.3">
      <c r="A157" s="10"/>
      <c r="B157" s="26" t="s">
        <v>4</v>
      </c>
      <c r="C157" s="26"/>
      <c r="D157" s="33">
        <f>+D153-D155</f>
        <v>59358.579999999929</v>
      </c>
      <c r="E157" s="13"/>
      <c r="F157" s="31">
        <f>IF(D$12=0,0,D157/D$12)</f>
        <v>0.19082780419904494</v>
      </c>
      <c r="G157" s="13"/>
      <c r="H157" s="33">
        <f>+H153-H155</f>
        <v>96680.276698076952</v>
      </c>
      <c r="I157" s="13"/>
      <c r="J157" s="31">
        <f>IF(H$12=0,0,H157/H$12)</f>
        <v>0.2576189677632858</v>
      </c>
      <c r="K157" s="16"/>
      <c r="L157" s="33">
        <f>D157-H157</f>
        <v>-37321.696698077023</v>
      </c>
      <c r="M157" s="16"/>
      <c r="N157" s="31">
        <f>IF(H157=0,0,L157/H157)</f>
        <v>-0.38603216677408808</v>
      </c>
      <c r="O157" s="25"/>
      <c r="P157" s="33">
        <f>+P153-P155</f>
        <v>143977.98999999993</v>
      </c>
      <c r="Q157" s="13"/>
      <c r="R157" s="31">
        <f>IF(P$12=0,0,P157/P$12)</f>
        <v>0.29634908392316489</v>
      </c>
      <c r="S157" s="13"/>
      <c r="T157" s="33">
        <f>+T153-T155</f>
        <v>-7249.9097680769046</v>
      </c>
      <c r="U157" s="13"/>
      <c r="V157" s="31">
        <f>IF(T$12=0,0,T157/T$12)</f>
        <v>-1.197866905925286E-2</v>
      </c>
      <c r="W157" s="16"/>
      <c r="X157" s="33">
        <f>P157-T157</f>
        <v>151227.89976807684</v>
      </c>
      <c r="Y157" s="16"/>
      <c r="Z157" s="31">
        <f>IF(T157=0,0,X157/T157)</f>
        <v>-20.859280267731005</v>
      </c>
    </row>
    <row r="158" spans="1:26" ht="15.75" thickTop="1" x14ac:dyDescent="0.25">
      <c r="A158" s="9"/>
      <c r="B158" s="9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x14ac:dyDescent="0.25">
      <c r="A159" s="9"/>
      <c r="B159" s="9"/>
      <c r="C159" s="9"/>
      <c r="D159" s="3"/>
      <c r="E159" s="3"/>
      <c r="F159" s="8"/>
      <c r="G159" s="3"/>
      <c r="H159" s="3"/>
      <c r="I159" s="3"/>
      <c r="J159" s="8"/>
      <c r="K159" s="3"/>
      <c r="L159" s="3"/>
      <c r="M159" s="3"/>
      <c r="N159" s="8"/>
      <c r="P159" s="3"/>
      <c r="Q159" s="3"/>
      <c r="R159" s="8"/>
      <c r="S159" s="3"/>
      <c r="T159" s="3"/>
      <c r="U159" s="3"/>
      <c r="V159" s="8"/>
      <c r="W159" s="3"/>
      <c r="X159" s="3"/>
      <c r="Y159" s="3"/>
      <c r="Z159" s="8"/>
    </row>
    <row r="160" spans="1:26" s="22" customFormat="1" ht="15.75" thickBot="1" x14ac:dyDescent="0.3">
      <c r="A160" s="10"/>
      <c r="B160" s="26" t="s">
        <v>5</v>
      </c>
      <c r="C160" s="26"/>
      <c r="D160" s="32">
        <f>SUM(D157:D159)</f>
        <v>59358.579999999929</v>
      </c>
      <c r="E160" s="13"/>
      <c r="F160" s="35">
        <f>IF(D$12=0,0,D160/D$12)</f>
        <v>0.19082780419904494</v>
      </c>
      <c r="G160" s="13"/>
      <c r="H160" s="32">
        <f>SUM(H157:H159)</f>
        <v>96680.276698076952</v>
      </c>
      <c r="I160" s="13"/>
      <c r="J160" s="35">
        <f>IF(H$12=0,0,H160/H$12)</f>
        <v>0.2576189677632858</v>
      </c>
      <c r="K160" s="16"/>
      <c r="L160" s="32">
        <f>+D160-H160</f>
        <v>-37321.696698077023</v>
      </c>
      <c r="M160" s="16"/>
      <c r="N160" s="35">
        <f>IF(H160=0,0,L160/H160)</f>
        <v>-0.38603216677408808</v>
      </c>
      <c r="O160" s="25"/>
      <c r="P160" s="32">
        <f>SUM(P157:P159)</f>
        <v>143977.98999999993</v>
      </c>
      <c r="Q160" s="13"/>
      <c r="R160" s="35">
        <f>IF(P$12=0,0,P160/P$12)</f>
        <v>0.29634908392316489</v>
      </c>
      <c r="S160" s="13"/>
      <c r="T160" s="32">
        <f>SUM(T157:T159)</f>
        <v>-7249.9097680769046</v>
      </c>
      <c r="U160" s="13"/>
      <c r="V160" s="35">
        <f>IF(T$12=0,0,T160/T$12)</f>
        <v>-1.197866905925286E-2</v>
      </c>
      <c r="W160" s="16"/>
      <c r="X160" s="32">
        <f>+P160-T160</f>
        <v>151227.89976807684</v>
      </c>
      <c r="Y160" s="16"/>
      <c r="Z160" s="35">
        <f>IF(T160=0,0,X160/T160)</f>
        <v>-20.859280267731005</v>
      </c>
    </row>
    <row r="161" spans="1:24" ht="15.75" thickTop="1" x14ac:dyDescent="0.25">
      <c r="A161" s="9"/>
      <c r="C161" s="9"/>
      <c r="D161" s="18"/>
      <c r="E161" s="18"/>
      <c r="G161" s="18"/>
      <c r="H161" s="18"/>
      <c r="I161" s="18"/>
      <c r="J161" s="43"/>
      <c r="K161" s="18"/>
      <c r="L161" s="18"/>
      <c r="M161" s="18"/>
      <c r="P161" s="18"/>
      <c r="Q161" s="18"/>
      <c r="R161" s="43"/>
      <c r="S161" s="18"/>
      <c r="T161" s="18"/>
      <c r="U161" s="18"/>
      <c r="V161" s="43"/>
      <c r="W161" s="18"/>
      <c r="X161" s="18"/>
    </row>
    <row r="162" spans="1:24" x14ac:dyDescent="0.25">
      <c r="A162" s="9"/>
      <c r="B162" s="59">
        <v>44113.688997800928</v>
      </c>
      <c r="D162" s="18"/>
      <c r="E162" s="18"/>
      <c r="G162" s="18"/>
      <c r="H162" s="18"/>
      <c r="I162" s="18"/>
      <c r="J162" s="43"/>
      <c r="K162" s="18"/>
      <c r="L162" s="18"/>
      <c r="M162" s="18"/>
      <c r="P162" s="18"/>
      <c r="Q162" s="18"/>
      <c r="R162" s="43"/>
      <c r="S162" s="18"/>
      <c r="T162" s="18"/>
      <c r="U162" s="18"/>
      <c r="V162" s="43"/>
      <c r="W162" s="18"/>
      <c r="X162" s="18"/>
    </row>
    <row r="163" spans="1:24" x14ac:dyDescent="0.25">
      <c r="A163" s="9"/>
      <c r="B163" s="62" t="s">
        <v>314</v>
      </c>
      <c r="D163" s="18"/>
      <c r="E163" s="18"/>
      <c r="G163" s="18"/>
      <c r="H163" s="18"/>
      <c r="I163" s="18"/>
      <c r="J163" s="43"/>
      <c r="K163" s="18"/>
      <c r="L163" s="18"/>
      <c r="M163" s="18"/>
      <c r="P163" s="18"/>
      <c r="Q163" s="18"/>
      <c r="R163" s="43"/>
      <c r="S163" s="18"/>
      <c r="T163" s="18"/>
      <c r="U163" s="18"/>
      <c r="V163" s="43"/>
      <c r="W163" s="18"/>
      <c r="X163" s="18"/>
    </row>
    <row r="164" spans="1:24" x14ac:dyDescent="0.25">
      <c r="A164" s="9"/>
      <c r="B164" s="63"/>
      <c r="D164" s="18"/>
      <c r="E164" s="18"/>
      <c r="G164" s="18"/>
      <c r="H164" s="18"/>
      <c r="I164" s="18"/>
      <c r="J164" s="43"/>
      <c r="K164" s="18"/>
      <c r="L164" s="18"/>
      <c r="M164" s="18"/>
      <c r="P164" s="18"/>
      <c r="Q164" s="18"/>
      <c r="R164" s="43"/>
      <c r="S164" s="18"/>
      <c r="T164" s="18"/>
      <c r="U164" s="18"/>
      <c r="V164" s="43"/>
      <c r="W164" s="18"/>
      <c r="X164" s="18"/>
    </row>
    <row r="165" spans="1:24" x14ac:dyDescent="0.25">
      <c r="D165" s="18"/>
      <c r="E165" s="18"/>
      <c r="G165" s="18"/>
      <c r="H165" s="18"/>
      <c r="I165" s="18"/>
      <c r="J165" s="43"/>
      <c r="K165" s="18"/>
      <c r="L165" s="18"/>
      <c r="M165" s="18"/>
      <c r="P165" s="18"/>
      <c r="Q165" s="18"/>
      <c r="R165" s="43"/>
      <c r="S165" s="18"/>
      <c r="T165" s="18"/>
      <c r="U165" s="18"/>
      <c r="V165" s="43"/>
      <c r="W165" s="18"/>
      <c r="X165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","315", " - ", "Beach Shop")</f>
        <v>Department 315 - Beach Shop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288261.01999999996</v>
      </c>
      <c r="E12" s="4"/>
      <c r="F12" s="12"/>
      <c r="G12" s="4"/>
      <c r="H12" s="4">
        <f>SUM(OSRRefH13x_0)</f>
        <v>309265</v>
      </c>
      <c r="I12" s="4"/>
      <c r="J12" s="12"/>
      <c r="K12" s="4"/>
      <c r="L12" s="4">
        <f t="shared" ref="L12:L48" si="0">+D12-H12</f>
        <v>-21003.98000000004</v>
      </c>
      <c r="M12" s="4"/>
      <c r="N12" s="12">
        <f t="shared" ref="N12:N48" si="1">IF(H12=0,0,L12/H12)</f>
        <v>-6.791580036538257E-2</v>
      </c>
      <c r="O12" s="10"/>
      <c r="P12" s="4">
        <f>SUM(OSRRefP13x_0)</f>
        <v>436162.07000000007</v>
      </c>
      <c r="Q12" s="4"/>
      <c r="R12" s="12"/>
      <c r="S12" s="4"/>
      <c r="T12" s="4">
        <f>SUM(OSRRefT13x_0)</f>
        <v>490308</v>
      </c>
      <c r="U12" s="4"/>
      <c r="V12" s="12"/>
      <c r="W12" s="4"/>
      <c r="X12" s="4">
        <f t="shared" ref="X12:X48" si="2">+P12-T12</f>
        <v>-54145.929999999935</v>
      </c>
      <c r="Y12" s="4"/>
      <c r="Z12" s="12">
        <f t="shared" ref="Z12:Z48" si="3">IF(T12=0,0,X12/T12)</f>
        <v>-0.11043248325542299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-12599.7</f>
        <v>-12599.7</v>
      </c>
      <c r="E13" s="2"/>
      <c r="F13" s="23"/>
      <c r="G13" s="2"/>
      <c r="H13" s="2">
        <v>309265</v>
      </c>
      <c r="I13" s="2"/>
      <c r="J13" s="23"/>
      <c r="K13" s="2"/>
      <c r="L13" s="2">
        <f t="shared" si="0"/>
        <v>-321864.7</v>
      </c>
      <c r="M13" s="2"/>
      <c r="N13" s="23">
        <f t="shared" si="1"/>
        <v>-1.0407407886440432</v>
      </c>
      <c r="O13" s="11"/>
      <c r="P13" s="2">
        <f>-22202.76</f>
        <v>-22202.76</v>
      </c>
      <c r="Q13" s="2"/>
      <c r="R13" s="23"/>
      <c r="S13" s="2"/>
      <c r="T13" s="2">
        <v>490308</v>
      </c>
      <c r="U13" s="2"/>
      <c r="V13" s="23"/>
      <c r="W13" s="2"/>
      <c r="X13" s="2">
        <f t="shared" si="2"/>
        <v>-512510.76</v>
      </c>
      <c r="Y13" s="2"/>
      <c r="Z13" s="23">
        <f t="shared" si="3"/>
        <v>-1.0452832913189261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3"/>
      <c r="G14" s="2"/>
      <c r="H14" s="2"/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>--221.99</f>
        <v>221.99</v>
      </c>
      <c r="Q14" s="2"/>
      <c r="R14" s="23"/>
      <c r="S14" s="2"/>
      <c r="T14" s="2"/>
      <c r="U14" s="2"/>
      <c r="V14" s="23"/>
      <c r="W14" s="2"/>
      <c r="X14" s="2">
        <f t="shared" si="2"/>
        <v>221.99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--16850.03</f>
        <v>16850.03</v>
      </c>
      <c r="E15" s="2"/>
      <c r="F15" s="23"/>
      <c r="G15" s="2"/>
      <c r="H15" s="2"/>
      <c r="I15" s="2"/>
      <c r="J15" s="23"/>
      <c r="K15" s="2"/>
      <c r="L15" s="2">
        <f t="shared" si="0"/>
        <v>16850.03</v>
      </c>
      <c r="M15" s="2"/>
      <c r="N15" s="23">
        <f t="shared" si="1"/>
        <v>0</v>
      </c>
      <c r="O15" s="11"/>
      <c r="P15" s="2">
        <f>--18503.2</f>
        <v>18503.2</v>
      </c>
      <c r="Q15" s="2"/>
      <c r="R15" s="23"/>
      <c r="S15" s="2"/>
      <c r="T15" s="2"/>
      <c r="U15" s="2"/>
      <c r="V15" s="23"/>
      <c r="W15" s="2"/>
      <c r="X15" s="2">
        <f t="shared" si="2"/>
        <v>18503.2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23"/>
      <c r="G16" s="2"/>
      <c r="H16" s="2"/>
      <c r="I16" s="2"/>
      <c r="J16" s="23"/>
      <c r="K16" s="2"/>
      <c r="L16" s="2">
        <f t="shared" si="0"/>
        <v>0</v>
      </c>
      <c r="M16" s="2"/>
      <c r="N16" s="23">
        <f t="shared" si="1"/>
        <v>0</v>
      </c>
      <c r="O16" s="11"/>
      <c r="P16" s="2">
        <f>--19.85</f>
        <v>19.850000000000001</v>
      </c>
      <c r="Q16" s="2"/>
      <c r="R16" s="23"/>
      <c r="S16" s="2"/>
      <c r="T16" s="2"/>
      <c r="U16" s="2"/>
      <c r="V16" s="23"/>
      <c r="W16" s="2"/>
      <c r="X16" s="2">
        <f t="shared" si="2"/>
        <v>19.850000000000001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--407.47</f>
        <v>407.47</v>
      </c>
      <c r="E17" s="2"/>
      <c r="F17" s="23"/>
      <c r="G17" s="2"/>
      <c r="H17" s="2"/>
      <c r="I17" s="2"/>
      <c r="J17" s="23"/>
      <c r="K17" s="2"/>
      <c r="L17" s="2">
        <f t="shared" si="0"/>
        <v>407.47</v>
      </c>
      <c r="M17" s="2"/>
      <c r="N17" s="23">
        <f t="shared" si="1"/>
        <v>0</v>
      </c>
      <c r="O17" s="11"/>
      <c r="P17" s="2">
        <f>--427.22</f>
        <v>427.22</v>
      </c>
      <c r="Q17" s="2"/>
      <c r="R17" s="23"/>
      <c r="S17" s="2"/>
      <c r="T17" s="2"/>
      <c r="U17" s="2"/>
      <c r="V17" s="23"/>
      <c r="W17" s="2"/>
      <c r="X17" s="2">
        <f t="shared" si="2"/>
        <v>427.22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3"/>
      <c r="G18" s="2"/>
      <c r="H18" s="2"/>
      <c r="I18" s="2"/>
      <c r="J18" s="23"/>
      <c r="K18" s="2"/>
      <c r="L18" s="2">
        <f t="shared" si="0"/>
        <v>0</v>
      </c>
      <c r="M18" s="2"/>
      <c r="N18" s="23">
        <f t="shared" si="1"/>
        <v>0</v>
      </c>
      <c r="O18" s="11"/>
      <c r="P18" s="2">
        <f>--6.78</f>
        <v>6.78</v>
      </c>
      <c r="Q18" s="2"/>
      <c r="R18" s="23"/>
      <c r="S18" s="2"/>
      <c r="T18" s="2"/>
      <c r="U18" s="2"/>
      <c r="V18" s="23"/>
      <c r="W18" s="2"/>
      <c r="X18" s="2">
        <f t="shared" si="2"/>
        <v>6.78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--158111.68</f>
        <v>158111.67999999999</v>
      </c>
      <c r="E19" s="2"/>
      <c r="F19" s="23"/>
      <c r="G19" s="2"/>
      <c r="H19" s="2"/>
      <c r="I19" s="2"/>
      <c r="J19" s="23"/>
      <c r="K19" s="2"/>
      <c r="L19" s="2">
        <f t="shared" si="0"/>
        <v>158111.67999999999</v>
      </c>
      <c r="M19" s="2"/>
      <c r="N19" s="23">
        <f t="shared" si="1"/>
        <v>0</v>
      </c>
      <c r="O19" s="11"/>
      <c r="P19" s="2">
        <f>--208492.28</f>
        <v>208492.28</v>
      </c>
      <c r="Q19" s="2"/>
      <c r="R19" s="23"/>
      <c r="S19" s="2"/>
      <c r="T19" s="2"/>
      <c r="U19" s="2"/>
      <c r="V19" s="23"/>
      <c r="W19" s="2"/>
      <c r="X19" s="2">
        <f t="shared" si="2"/>
        <v>208492.28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--36926.32</f>
        <v>36926.32</v>
      </c>
      <c r="E20" s="2"/>
      <c r="F20" s="23"/>
      <c r="G20" s="2"/>
      <c r="H20" s="2"/>
      <c r="I20" s="2"/>
      <c r="J20" s="23"/>
      <c r="K20" s="2"/>
      <c r="L20" s="2">
        <f t="shared" si="0"/>
        <v>36926.32</v>
      </c>
      <c r="M20" s="2"/>
      <c r="N20" s="23">
        <f t="shared" si="1"/>
        <v>0</v>
      </c>
      <c r="O20" s="11"/>
      <c r="P20" s="2">
        <f>--52844.16</f>
        <v>52844.160000000003</v>
      </c>
      <c r="Q20" s="2"/>
      <c r="R20" s="23"/>
      <c r="S20" s="2"/>
      <c r="T20" s="2"/>
      <c r="U20" s="2"/>
      <c r="V20" s="23"/>
      <c r="W20" s="2"/>
      <c r="X20" s="2">
        <f t="shared" si="2"/>
        <v>52844.160000000003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--23965.29</f>
        <v>23965.29</v>
      </c>
      <c r="E21" s="2"/>
      <c r="F21" s="23"/>
      <c r="G21" s="2"/>
      <c r="H21" s="2"/>
      <c r="I21" s="2"/>
      <c r="J21" s="23"/>
      <c r="K21" s="2"/>
      <c r="L21" s="2">
        <f t="shared" si="0"/>
        <v>23965.29</v>
      </c>
      <c r="M21" s="2"/>
      <c r="N21" s="23">
        <f t="shared" si="1"/>
        <v>0</v>
      </c>
      <c r="O21" s="11"/>
      <c r="P21" s="2">
        <f>--28119.34</f>
        <v>28119.34</v>
      </c>
      <c r="Q21" s="2"/>
      <c r="R21" s="23"/>
      <c r="S21" s="2"/>
      <c r="T21" s="2"/>
      <c r="U21" s="2"/>
      <c r="V21" s="23"/>
      <c r="W21" s="2"/>
      <c r="X21" s="2">
        <f t="shared" si="2"/>
        <v>28119.34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--6413.63</f>
        <v>6413.63</v>
      </c>
      <c r="E22" s="2"/>
      <c r="F22" s="23"/>
      <c r="G22" s="2"/>
      <c r="H22" s="2"/>
      <c r="I22" s="2"/>
      <c r="J22" s="23"/>
      <c r="K22" s="2"/>
      <c r="L22" s="2">
        <f t="shared" si="0"/>
        <v>6413.63</v>
      </c>
      <c r="M22" s="2"/>
      <c r="N22" s="23">
        <f t="shared" si="1"/>
        <v>0</v>
      </c>
      <c r="O22" s="11"/>
      <c r="P22" s="2">
        <f>--6601</f>
        <v>6601</v>
      </c>
      <c r="Q22" s="2"/>
      <c r="R22" s="23"/>
      <c r="S22" s="2"/>
      <c r="T22" s="2"/>
      <c r="U22" s="2"/>
      <c r="V22" s="23"/>
      <c r="W22" s="2"/>
      <c r="X22" s="2">
        <f t="shared" si="2"/>
        <v>6601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--6373.92</f>
        <v>6373.92</v>
      </c>
      <c r="E23" s="2"/>
      <c r="F23" s="23"/>
      <c r="G23" s="2"/>
      <c r="H23" s="2"/>
      <c r="I23" s="2"/>
      <c r="J23" s="23"/>
      <c r="K23" s="2"/>
      <c r="L23" s="2">
        <f t="shared" si="0"/>
        <v>6373.92</v>
      </c>
      <c r="M23" s="2"/>
      <c r="N23" s="23">
        <f t="shared" si="1"/>
        <v>0</v>
      </c>
      <c r="O23" s="11"/>
      <c r="P23" s="2">
        <f>--7877.12</f>
        <v>7877.12</v>
      </c>
      <c r="Q23" s="2"/>
      <c r="R23" s="23"/>
      <c r="S23" s="2"/>
      <c r="T23" s="2"/>
      <c r="U23" s="2"/>
      <c r="V23" s="23"/>
      <c r="W23" s="2"/>
      <c r="X23" s="2">
        <f t="shared" si="2"/>
        <v>7877.12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--46004.35</f>
        <v>46004.35</v>
      </c>
      <c r="E24" s="2"/>
      <c r="F24" s="23"/>
      <c r="G24" s="2"/>
      <c r="H24" s="2"/>
      <c r="I24" s="2"/>
      <c r="J24" s="23"/>
      <c r="K24" s="2"/>
      <c r="L24" s="2">
        <f t="shared" si="0"/>
        <v>46004.35</v>
      </c>
      <c r="M24" s="2"/>
      <c r="N24" s="23">
        <f t="shared" si="1"/>
        <v>0</v>
      </c>
      <c r="O24" s="11"/>
      <c r="P24" s="2">
        <f>--89431.08</f>
        <v>89431.08</v>
      </c>
      <c r="Q24" s="2"/>
      <c r="R24" s="23"/>
      <c r="S24" s="2"/>
      <c r="T24" s="2"/>
      <c r="U24" s="2"/>
      <c r="V24" s="23"/>
      <c r="W24" s="2"/>
      <c r="X24" s="2">
        <f t="shared" si="2"/>
        <v>89431.08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3"/>
      <c r="G25" s="2"/>
      <c r="H25" s="2"/>
      <c r="I25" s="2"/>
      <c r="J25" s="23"/>
      <c r="K25" s="2"/>
      <c r="L25" s="2">
        <f t="shared" si="0"/>
        <v>0</v>
      </c>
      <c r="M25" s="2"/>
      <c r="N25" s="23">
        <f t="shared" si="1"/>
        <v>0</v>
      </c>
      <c r="O25" s="11"/>
      <c r="P25" s="2">
        <f>--52.68</f>
        <v>52.68</v>
      </c>
      <c r="Q25" s="2"/>
      <c r="R25" s="23"/>
      <c r="S25" s="2"/>
      <c r="T25" s="2"/>
      <c r="U25" s="2"/>
      <c r="V25" s="23"/>
      <c r="W25" s="2"/>
      <c r="X25" s="2">
        <f t="shared" si="2"/>
        <v>52.68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--1788.16</f>
        <v>1788.16</v>
      </c>
      <c r="E26" s="2"/>
      <c r="F26" s="23"/>
      <c r="G26" s="2"/>
      <c r="H26" s="2"/>
      <c r="I26" s="2"/>
      <c r="J26" s="23"/>
      <c r="K26" s="2"/>
      <c r="L26" s="2">
        <f t="shared" si="0"/>
        <v>1788.16</v>
      </c>
      <c r="M26" s="2"/>
      <c r="N26" s="23">
        <f t="shared" si="1"/>
        <v>0</v>
      </c>
      <c r="O26" s="11"/>
      <c r="P26" s="2">
        <f>--1860.41</f>
        <v>1860.41</v>
      </c>
      <c r="Q26" s="2"/>
      <c r="R26" s="23"/>
      <c r="S26" s="2"/>
      <c r="T26" s="2"/>
      <c r="U26" s="2"/>
      <c r="V26" s="23"/>
      <c r="W26" s="2"/>
      <c r="X26" s="2">
        <f t="shared" si="2"/>
        <v>1860.41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--979.65</f>
        <v>979.65</v>
      </c>
      <c r="E27" s="2"/>
      <c r="F27" s="23"/>
      <c r="G27" s="2"/>
      <c r="H27" s="2"/>
      <c r="I27" s="2"/>
      <c r="J27" s="23"/>
      <c r="K27" s="2"/>
      <c r="L27" s="2">
        <f t="shared" si="0"/>
        <v>979.65</v>
      </c>
      <c r="M27" s="2"/>
      <c r="N27" s="23">
        <f t="shared" si="1"/>
        <v>0</v>
      </c>
      <c r="O27" s="11"/>
      <c r="P27" s="2">
        <f>--1237.58</f>
        <v>1237.58</v>
      </c>
      <c r="Q27" s="2"/>
      <c r="R27" s="23"/>
      <c r="S27" s="2"/>
      <c r="T27" s="2"/>
      <c r="U27" s="2"/>
      <c r="V27" s="23"/>
      <c r="W27" s="2"/>
      <c r="X27" s="2">
        <f t="shared" si="2"/>
        <v>1237.58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>0</f>
        <v>0</v>
      </c>
      <c r="E28" s="2"/>
      <c r="F28" s="23"/>
      <c r="G28" s="2"/>
      <c r="H28" s="2"/>
      <c r="I28" s="2"/>
      <c r="J28" s="23"/>
      <c r="K28" s="2"/>
      <c r="L28" s="2">
        <f t="shared" si="0"/>
        <v>0</v>
      </c>
      <c r="M28" s="2"/>
      <c r="N28" s="23">
        <f t="shared" si="1"/>
        <v>0</v>
      </c>
      <c r="O28" s="11"/>
      <c r="P28" s="2">
        <f>--22.49</f>
        <v>22.49</v>
      </c>
      <c r="Q28" s="2"/>
      <c r="R28" s="23"/>
      <c r="S28" s="2"/>
      <c r="T28" s="2"/>
      <c r="U28" s="2"/>
      <c r="V28" s="23"/>
      <c r="W28" s="2"/>
      <c r="X28" s="2">
        <f t="shared" si="2"/>
        <v>22.49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>--12.43</f>
        <v>12.43</v>
      </c>
      <c r="E29" s="2"/>
      <c r="F29" s="23"/>
      <c r="G29" s="2"/>
      <c r="H29" s="2"/>
      <c r="I29" s="2"/>
      <c r="J29" s="23"/>
      <c r="K29" s="2"/>
      <c r="L29" s="2">
        <f t="shared" si="0"/>
        <v>12.43</v>
      </c>
      <c r="M29" s="2"/>
      <c r="N29" s="23">
        <f t="shared" si="1"/>
        <v>0</v>
      </c>
      <c r="O29" s="11"/>
      <c r="P29" s="2">
        <f>--80.71</f>
        <v>80.709999999999994</v>
      </c>
      <c r="Q29" s="2"/>
      <c r="R29" s="23"/>
      <c r="S29" s="2"/>
      <c r="T29" s="2"/>
      <c r="U29" s="2"/>
      <c r="V29" s="23"/>
      <c r="W29" s="2"/>
      <c r="X29" s="2">
        <f t="shared" si="2"/>
        <v>80.709999999999994</v>
      </c>
      <c r="Y29" s="2"/>
      <c r="Z29" s="23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ref="D30:D31" si="4">0</f>
        <v>0</v>
      </c>
      <c r="E30" s="2"/>
      <c r="F30" s="23"/>
      <c r="G30" s="2"/>
      <c r="H30" s="2"/>
      <c r="I30" s="2"/>
      <c r="J30" s="23"/>
      <c r="K30" s="2"/>
      <c r="L30" s="2">
        <f t="shared" si="0"/>
        <v>0</v>
      </c>
      <c r="M30" s="2"/>
      <c r="N30" s="23">
        <f t="shared" si="1"/>
        <v>0</v>
      </c>
      <c r="O30" s="11"/>
      <c r="P30" s="2">
        <f>--45.53</f>
        <v>45.53</v>
      </c>
      <c r="Q30" s="2"/>
      <c r="R30" s="23"/>
      <c r="S30" s="2"/>
      <c r="T30" s="2"/>
      <c r="U30" s="2"/>
      <c r="V30" s="23"/>
      <c r="W30" s="2"/>
      <c r="X30" s="2">
        <f t="shared" si="2"/>
        <v>45.53</v>
      </c>
      <c r="Y30" s="2"/>
      <c r="Z30" s="23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3"/>
      <c r="G31" s="2"/>
      <c r="H31" s="2"/>
      <c r="I31" s="2"/>
      <c r="J31" s="23"/>
      <c r="K31" s="2"/>
      <c r="L31" s="2">
        <f t="shared" si="0"/>
        <v>0</v>
      </c>
      <c r="M31" s="2"/>
      <c r="N31" s="23">
        <f t="shared" si="1"/>
        <v>0</v>
      </c>
      <c r="O31" s="11"/>
      <c r="P31" s="2">
        <f>--59.25</f>
        <v>59.25</v>
      </c>
      <c r="Q31" s="2"/>
      <c r="R31" s="23"/>
      <c r="S31" s="2"/>
      <c r="T31" s="2"/>
      <c r="U31" s="2"/>
      <c r="V31" s="23"/>
      <c r="W31" s="2"/>
      <c r="X31" s="2">
        <f t="shared" si="2"/>
        <v>59.25</v>
      </c>
      <c r="Y31" s="2"/>
      <c r="Z31" s="23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--7251.52</f>
        <v>7251.52</v>
      </c>
      <c r="E32" s="2"/>
      <c r="F32" s="23"/>
      <c r="G32" s="2"/>
      <c r="H32" s="2"/>
      <c r="I32" s="2"/>
      <c r="J32" s="23"/>
      <c r="K32" s="2"/>
      <c r="L32" s="2">
        <f t="shared" si="0"/>
        <v>7251.52</v>
      </c>
      <c r="M32" s="2"/>
      <c r="N32" s="23">
        <f t="shared" si="1"/>
        <v>0</v>
      </c>
      <c r="O32" s="11"/>
      <c r="P32" s="2">
        <f>--14029.3</f>
        <v>14029.3</v>
      </c>
      <c r="Q32" s="2"/>
      <c r="R32" s="23"/>
      <c r="S32" s="2"/>
      <c r="T32" s="2"/>
      <c r="U32" s="2"/>
      <c r="V32" s="23"/>
      <c r="W32" s="2"/>
      <c r="X32" s="2">
        <f t="shared" si="2"/>
        <v>14029.3</v>
      </c>
      <c r="Y32" s="2"/>
      <c r="Z32" s="23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--742.31</f>
        <v>742.31</v>
      </c>
      <c r="E33" s="2"/>
      <c r="F33" s="23"/>
      <c r="G33" s="2"/>
      <c r="H33" s="2"/>
      <c r="I33" s="2"/>
      <c r="J33" s="23"/>
      <c r="K33" s="2"/>
      <c r="L33" s="2">
        <f t="shared" si="0"/>
        <v>742.31</v>
      </c>
      <c r="M33" s="2"/>
      <c r="N33" s="23">
        <f t="shared" si="1"/>
        <v>0</v>
      </c>
      <c r="O33" s="11"/>
      <c r="P33" s="2">
        <f>--1931.75</f>
        <v>1931.75</v>
      </c>
      <c r="Q33" s="2"/>
      <c r="R33" s="23"/>
      <c r="S33" s="2"/>
      <c r="T33" s="2"/>
      <c r="U33" s="2"/>
      <c r="V33" s="23"/>
      <c r="W33" s="2"/>
      <c r="X33" s="2">
        <f t="shared" si="2"/>
        <v>1931.75</v>
      </c>
      <c r="Y33" s="2"/>
      <c r="Z33" s="23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--333.42</f>
        <v>333.42</v>
      </c>
      <c r="E34" s="2"/>
      <c r="F34" s="23"/>
      <c r="G34" s="2"/>
      <c r="H34" s="2"/>
      <c r="I34" s="2"/>
      <c r="J34" s="23"/>
      <c r="K34" s="2"/>
      <c r="L34" s="2">
        <f t="shared" si="0"/>
        <v>333.42</v>
      </c>
      <c r="M34" s="2"/>
      <c r="N34" s="23">
        <f t="shared" si="1"/>
        <v>0</v>
      </c>
      <c r="O34" s="11"/>
      <c r="P34" s="2">
        <f>--973.59</f>
        <v>973.59</v>
      </c>
      <c r="Q34" s="2"/>
      <c r="R34" s="23"/>
      <c r="S34" s="2"/>
      <c r="T34" s="2"/>
      <c r="U34" s="2"/>
      <c r="V34" s="23"/>
      <c r="W34" s="2"/>
      <c r="X34" s="2">
        <f t="shared" si="2"/>
        <v>973.59</v>
      </c>
      <c r="Y34" s="2"/>
      <c r="Z34" s="23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--19.98</f>
        <v>19.98</v>
      </c>
      <c r="E35" s="2"/>
      <c r="F35" s="23"/>
      <c r="G35" s="2"/>
      <c r="H35" s="2"/>
      <c r="I35" s="2"/>
      <c r="J35" s="23"/>
      <c r="K35" s="2"/>
      <c r="L35" s="2">
        <f t="shared" si="0"/>
        <v>19.98</v>
      </c>
      <c r="M35" s="2"/>
      <c r="N35" s="23">
        <f t="shared" si="1"/>
        <v>0</v>
      </c>
      <c r="O35" s="11"/>
      <c r="P35" s="2">
        <f>--19.98</f>
        <v>19.98</v>
      </c>
      <c r="Q35" s="2"/>
      <c r="R35" s="23"/>
      <c r="S35" s="2"/>
      <c r="T35" s="2"/>
      <c r="U35" s="2"/>
      <c r="V35" s="23"/>
      <c r="W35" s="2"/>
      <c r="X35" s="2">
        <f t="shared" si="2"/>
        <v>19.98</v>
      </c>
      <c r="Y35" s="2"/>
      <c r="Z35" s="23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--107.95</f>
        <v>107.95</v>
      </c>
      <c r="E36" s="2"/>
      <c r="F36" s="23"/>
      <c r="G36" s="2"/>
      <c r="H36" s="2"/>
      <c r="I36" s="2"/>
      <c r="J36" s="23"/>
      <c r="K36" s="2"/>
      <c r="L36" s="2">
        <f t="shared" si="0"/>
        <v>107.95</v>
      </c>
      <c r="M36" s="2"/>
      <c r="N36" s="23">
        <f t="shared" si="1"/>
        <v>0</v>
      </c>
      <c r="O36" s="11"/>
      <c r="P36" s="2">
        <f>--155.8</f>
        <v>155.80000000000001</v>
      </c>
      <c r="Q36" s="2"/>
      <c r="R36" s="23"/>
      <c r="S36" s="2"/>
      <c r="T36" s="2"/>
      <c r="U36" s="2"/>
      <c r="V36" s="23"/>
      <c r="W36" s="2"/>
      <c r="X36" s="2">
        <f t="shared" si="2"/>
        <v>155.80000000000001</v>
      </c>
      <c r="Y36" s="2"/>
      <c r="Z36" s="23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>--350</f>
        <v>350</v>
      </c>
      <c r="E37" s="2"/>
      <c r="F37" s="23"/>
      <c r="G37" s="2"/>
      <c r="H37" s="2"/>
      <c r="I37" s="2"/>
      <c r="J37" s="23"/>
      <c r="K37" s="2"/>
      <c r="L37" s="2">
        <f t="shared" si="0"/>
        <v>350</v>
      </c>
      <c r="M37" s="2"/>
      <c r="N37" s="23">
        <f t="shared" si="1"/>
        <v>0</v>
      </c>
      <c r="O37" s="11"/>
      <c r="P37" s="2">
        <f>--35839</f>
        <v>35839</v>
      </c>
      <c r="Q37" s="2"/>
      <c r="R37" s="23"/>
      <c r="S37" s="2"/>
      <c r="T37" s="2"/>
      <c r="U37" s="2"/>
      <c r="V37" s="23"/>
      <c r="W37" s="2"/>
      <c r="X37" s="2">
        <f t="shared" si="2"/>
        <v>35839</v>
      </c>
      <c r="Y37" s="2"/>
      <c r="Z37" s="23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0</f>
        <v>0</v>
      </c>
      <c r="E38" s="2"/>
      <c r="F38" s="23"/>
      <c r="G38" s="2"/>
      <c r="H38" s="2"/>
      <c r="I38" s="2"/>
      <c r="J38" s="23"/>
      <c r="K38" s="2"/>
      <c r="L38" s="2">
        <f t="shared" si="0"/>
        <v>0</v>
      </c>
      <c r="M38" s="2"/>
      <c r="N38" s="23">
        <f t="shared" si="1"/>
        <v>0</v>
      </c>
      <c r="O38" s="11"/>
      <c r="P38" s="2">
        <f>-6.38</f>
        <v>-6.38</v>
      </c>
      <c r="Q38" s="2"/>
      <c r="R38" s="23"/>
      <c r="S38" s="2"/>
      <c r="T38" s="2"/>
      <c r="U38" s="2"/>
      <c r="V38" s="23"/>
      <c r="W38" s="2"/>
      <c r="X38" s="2">
        <f t="shared" si="2"/>
        <v>-6.38</v>
      </c>
      <c r="Y38" s="2"/>
      <c r="Z38" s="23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-219.22</f>
        <v>-219.22</v>
      </c>
      <c r="E39" s="2"/>
      <c r="F39" s="23"/>
      <c r="G39" s="2"/>
      <c r="H39" s="2"/>
      <c r="I39" s="2"/>
      <c r="J39" s="23"/>
      <c r="K39" s="2"/>
      <c r="L39" s="2">
        <f t="shared" si="0"/>
        <v>-219.22</v>
      </c>
      <c r="M39" s="2"/>
      <c r="N39" s="23">
        <f t="shared" si="1"/>
        <v>0</v>
      </c>
      <c r="O39" s="11"/>
      <c r="P39" s="2">
        <f>-245.99</f>
        <v>-245.99</v>
      </c>
      <c r="Q39" s="2"/>
      <c r="R39" s="23"/>
      <c r="S39" s="2"/>
      <c r="T39" s="2"/>
      <c r="U39" s="2"/>
      <c r="V39" s="23"/>
      <c r="W39" s="2"/>
      <c r="X39" s="2">
        <f t="shared" si="2"/>
        <v>-245.99</v>
      </c>
      <c r="Y39" s="2"/>
      <c r="Z39" s="23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-4088.27</f>
        <v>-4088.27</v>
      </c>
      <c r="E40" s="2"/>
      <c r="F40" s="23"/>
      <c r="G40" s="2"/>
      <c r="H40" s="2"/>
      <c r="I40" s="2"/>
      <c r="J40" s="23"/>
      <c r="K40" s="2"/>
      <c r="L40" s="2">
        <f t="shared" si="0"/>
        <v>-4088.27</v>
      </c>
      <c r="M40" s="2"/>
      <c r="N40" s="23">
        <f t="shared" si="1"/>
        <v>0</v>
      </c>
      <c r="O40" s="11"/>
      <c r="P40" s="2">
        <f>-6706.72</f>
        <v>-6706.72</v>
      </c>
      <c r="Q40" s="2"/>
      <c r="R40" s="23"/>
      <c r="S40" s="2"/>
      <c r="T40" s="2"/>
      <c r="U40" s="2"/>
      <c r="V40" s="23"/>
      <c r="W40" s="2"/>
      <c r="X40" s="2">
        <f t="shared" si="2"/>
        <v>-6706.72</v>
      </c>
      <c r="Y40" s="2"/>
      <c r="Z40" s="23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-435.91</f>
        <v>-435.91</v>
      </c>
      <c r="E41" s="2"/>
      <c r="F41" s="23"/>
      <c r="G41" s="2"/>
      <c r="H41" s="2"/>
      <c r="I41" s="2"/>
      <c r="J41" s="23"/>
      <c r="K41" s="2"/>
      <c r="L41" s="2">
        <f t="shared" si="0"/>
        <v>-435.91</v>
      </c>
      <c r="M41" s="2"/>
      <c r="N41" s="23">
        <f t="shared" si="1"/>
        <v>0</v>
      </c>
      <c r="O41" s="11"/>
      <c r="P41" s="2">
        <f>-744.04</f>
        <v>-744.04</v>
      </c>
      <c r="Q41" s="2"/>
      <c r="R41" s="23"/>
      <c r="S41" s="2"/>
      <c r="T41" s="2"/>
      <c r="U41" s="2"/>
      <c r="V41" s="23"/>
      <c r="W41" s="2"/>
      <c r="X41" s="2">
        <f t="shared" si="2"/>
        <v>-744.04</v>
      </c>
      <c r="Y41" s="2"/>
      <c r="Z41" s="23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-447.81</f>
        <v>-447.81</v>
      </c>
      <c r="E42" s="2"/>
      <c r="F42" s="23"/>
      <c r="G42" s="2"/>
      <c r="H42" s="2"/>
      <c r="I42" s="2"/>
      <c r="J42" s="23"/>
      <c r="K42" s="2"/>
      <c r="L42" s="2">
        <f t="shared" si="0"/>
        <v>-447.81</v>
      </c>
      <c r="M42" s="2"/>
      <c r="N42" s="23">
        <f t="shared" si="1"/>
        <v>0</v>
      </c>
      <c r="O42" s="11"/>
      <c r="P42" s="2">
        <f>-552.91</f>
        <v>-552.91</v>
      </c>
      <c r="Q42" s="2"/>
      <c r="R42" s="23"/>
      <c r="S42" s="2"/>
      <c r="T42" s="2"/>
      <c r="U42" s="2"/>
      <c r="V42" s="23"/>
      <c r="W42" s="2"/>
      <c r="X42" s="2">
        <f t="shared" si="2"/>
        <v>-552.91</v>
      </c>
      <c r="Y42" s="2"/>
      <c r="Z42" s="23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-93.43</f>
        <v>-93.43</v>
      </c>
      <c r="E43" s="2"/>
      <c r="F43" s="23"/>
      <c r="G43" s="2"/>
      <c r="H43" s="2"/>
      <c r="I43" s="2"/>
      <c r="J43" s="23"/>
      <c r="K43" s="2"/>
      <c r="L43" s="2">
        <f t="shared" si="0"/>
        <v>-93.43</v>
      </c>
      <c r="M43" s="2"/>
      <c r="N43" s="23">
        <f t="shared" si="1"/>
        <v>0</v>
      </c>
      <c r="O43" s="11"/>
      <c r="P43" s="2">
        <f>-93.43</f>
        <v>-93.43</v>
      </c>
      <c r="Q43" s="2"/>
      <c r="R43" s="23"/>
      <c r="S43" s="2"/>
      <c r="T43" s="2"/>
      <c r="U43" s="2"/>
      <c r="V43" s="23"/>
      <c r="W43" s="2"/>
      <c r="X43" s="2">
        <f t="shared" si="2"/>
        <v>-93.43</v>
      </c>
      <c r="Y43" s="2"/>
      <c r="Z43" s="23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-350.99</f>
        <v>-350.99</v>
      </c>
      <c r="E44" s="2"/>
      <c r="F44" s="23"/>
      <c r="G44" s="2"/>
      <c r="H44" s="2"/>
      <c r="I44" s="2"/>
      <c r="J44" s="23"/>
      <c r="K44" s="2"/>
      <c r="L44" s="2">
        <f t="shared" si="0"/>
        <v>-350.99</v>
      </c>
      <c r="M44" s="2"/>
      <c r="N44" s="23">
        <f t="shared" si="1"/>
        <v>0</v>
      </c>
      <c r="O44" s="11"/>
      <c r="P44" s="2">
        <f>-350.99</f>
        <v>-350.99</v>
      </c>
      <c r="Q44" s="2"/>
      <c r="R44" s="23"/>
      <c r="S44" s="2"/>
      <c r="T44" s="2"/>
      <c r="U44" s="2"/>
      <c r="V44" s="23"/>
      <c r="W44" s="2"/>
      <c r="X44" s="2">
        <f t="shared" si="2"/>
        <v>-350.99</v>
      </c>
      <c r="Y44" s="2"/>
      <c r="Z44" s="23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-57.96</f>
        <v>-57.96</v>
      </c>
      <c r="E45" s="2"/>
      <c r="F45" s="23"/>
      <c r="G45" s="2"/>
      <c r="H45" s="2"/>
      <c r="I45" s="2"/>
      <c r="J45" s="23"/>
      <c r="K45" s="2"/>
      <c r="L45" s="2">
        <f t="shared" si="0"/>
        <v>-57.96</v>
      </c>
      <c r="M45" s="2"/>
      <c r="N45" s="23">
        <f t="shared" si="1"/>
        <v>0</v>
      </c>
      <c r="O45" s="11"/>
      <c r="P45" s="2">
        <f>-1171.96</f>
        <v>-1171.96</v>
      </c>
      <c r="Q45" s="2"/>
      <c r="R45" s="23"/>
      <c r="S45" s="2"/>
      <c r="T45" s="2"/>
      <c r="U45" s="2"/>
      <c r="V45" s="23"/>
      <c r="W45" s="2"/>
      <c r="X45" s="2">
        <f t="shared" si="2"/>
        <v>-1171.96</v>
      </c>
      <c r="Y45" s="2"/>
      <c r="Z45" s="23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-69.9</f>
        <v>-69.900000000000006</v>
      </c>
      <c r="E46" s="2"/>
      <c r="F46" s="23"/>
      <c r="G46" s="2"/>
      <c r="H46" s="2"/>
      <c r="I46" s="2"/>
      <c r="J46" s="23"/>
      <c r="K46" s="2"/>
      <c r="L46" s="2">
        <f t="shared" si="0"/>
        <v>-69.900000000000006</v>
      </c>
      <c r="M46" s="2"/>
      <c r="N46" s="23">
        <f t="shared" si="1"/>
        <v>0</v>
      </c>
      <c r="O46" s="11"/>
      <c r="P46" s="2">
        <f>-504.14</f>
        <v>-504.14</v>
      </c>
      <c r="Q46" s="2"/>
      <c r="R46" s="23"/>
      <c r="S46" s="2"/>
      <c r="T46" s="2"/>
      <c r="U46" s="2"/>
      <c r="V46" s="23"/>
      <c r="W46" s="2"/>
      <c r="X46" s="2">
        <f t="shared" si="2"/>
        <v>-504.14</v>
      </c>
      <c r="Y46" s="2"/>
      <c r="Z46" s="23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0</f>
        <v>0</v>
      </c>
      <c r="E47" s="2"/>
      <c r="F47" s="23"/>
      <c r="G47" s="2"/>
      <c r="H47" s="2"/>
      <c r="I47" s="2"/>
      <c r="J47" s="23"/>
      <c r="K47" s="2"/>
      <c r="L47" s="2">
        <f t="shared" si="0"/>
        <v>0</v>
      </c>
      <c r="M47" s="2"/>
      <c r="N47" s="23">
        <f t="shared" si="1"/>
        <v>0</v>
      </c>
      <c r="O47" s="11"/>
      <c r="P47" s="2">
        <f>-16.95</f>
        <v>-16.95</v>
      </c>
      <c r="Q47" s="2"/>
      <c r="R47" s="23"/>
      <c r="S47" s="2"/>
      <c r="T47" s="2"/>
      <c r="U47" s="2"/>
      <c r="V47" s="23"/>
      <c r="W47" s="2"/>
      <c r="X47" s="2">
        <f t="shared" si="2"/>
        <v>-16.95</v>
      </c>
      <c r="Y47" s="2"/>
      <c r="Z47" s="23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-13.9</f>
        <v>-13.9</v>
      </c>
      <c r="E48" s="2"/>
      <c r="F48" s="23"/>
      <c r="G48" s="2"/>
      <c r="H48" s="2"/>
      <c r="I48" s="2"/>
      <c r="J48" s="23"/>
      <c r="K48" s="2"/>
      <c r="L48" s="2">
        <f t="shared" si="0"/>
        <v>-13.9</v>
      </c>
      <c r="M48" s="2"/>
      <c r="N48" s="23">
        <f t="shared" si="1"/>
        <v>0</v>
      </c>
      <c r="O48" s="11"/>
      <c r="P48" s="2">
        <f>-93.75</f>
        <v>-93.75</v>
      </c>
      <c r="Q48" s="2"/>
      <c r="R48" s="23"/>
      <c r="S48" s="2"/>
      <c r="T48" s="2"/>
      <c r="U48" s="2"/>
      <c r="V48" s="23"/>
      <c r="W48" s="2"/>
      <c r="X48" s="2">
        <f t="shared" si="2"/>
        <v>-93.75</v>
      </c>
      <c r="Y48" s="2"/>
      <c r="Z48" s="23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2" customFormat="1" collapsed="1" x14ac:dyDescent="0.25">
      <c r="A50" s="10"/>
      <c r="B50" s="25" t="s">
        <v>8</v>
      </c>
      <c r="C50" s="10"/>
      <c r="D50" s="4">
        <f>SUM(OSRRefD16x_0)</f>
        <v>171786</v>
      </c>
      <c r="E50" s="4"/>
      <c r="F50" s="12">
        <f t="shared" ref="F50:F63" si="5">IF(D$12=0,0,D50/D$12)</f>
        <v>0.59593905551295145</v>
      </c>
      <c r="G50" s="4"/>
      <c r="H50" s="4">
        <f>SUM(OSRRefH16x_0)</f>
        <v>143035</v>
      </c>
      <c r="I50" s="4"/>
      <c r="J50" s="12">
        <f t="shared" ref="J50:J63" si="6">IF(H$12=0,0,H50/H$12)</f>
        <v>0.46249979790794304</v>
      </c>
      <c r="K50" s="4"/>
      <c r="L50" s="4">
        <f t="shared" ref="L50:L63" si="7">+D50-H50</f>
        <v>28751</v>
      </c>
      <c r="M50" s="4"/>
      <c r="N50" s="12">
        <f t="shared" ref="N50:N63" si="8">IF(H50=0,0,L50/H50)</f>
        <v>0.2010067466004824</v>
      </c>
      <c r="O50" s="10"/>
      <c r="P50" s="4">
        <f>SUM(OSRRefP16x_0)</f>
        <v>271955.94000000006</v>
      </c>
      <c r="Q50" s="4"/>
      <c r="R50" s="12">
        <f t="shared" ref="R50:R63" si="9">IF(P$12=0,0,P50/P$12)</f>
        <v>0.62352038085292472</v>
      </c>
      <c r="S50" s="4"/>
      <c r="T50" s="4">
        <f>SUM(OSRRefT16x_0)</f>
        <v>226768</v>
      </c>
      <c r="U50" s="4"/>
      <c r="V50" s="12">
        <f t="shared" ref="V50:V63" si="10">IF(T$12=0,0,T50/T$12)</f>
        <v>0.46250112174388341</v>
      </c>
      <c r="W50" s="4"/>
      <c r="X50" s="4">
        <f t="shared" ref="X50:X63" si="11">+P50-T50</f>
        <v>45187.940000000061</v>
      </c>
      <c r="Y50" s="4"/>
      <c r="Z50" s="12">
        <f t="shared" ref="Z50:Z63" si="12">IF(T50=0,0,X50/T50)</f>
        <v>0.1992694736470757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3">
        <f t="shared" si="5"/>
        <v>0</v>
      </c>
      <c r="G51" s="2"/>
      <c r="H51" s="2">
        <v>143035</v>
      </c>
      <c r="I51" s="2"/>
      <c r="J51" s="23">
        <f t="shared" si="6"/>
        <v>0.46249979790794304</v>
      </c>
      <c r="K51" s="2"/>
      <c r="L51" s="2">
        <f t="shared" si="7"/>
        <v>-143035</v>
      </c>
      <c r="M51" s="2"/>
      <c r="N51" s="23">
        <f t="shared" si="8"/>
        <v>-1</v>
      </c>
      <c r="O51" s="11"/>
      <c r="P51" s="2"/>
      <c r="Q51" s="2"/>
      <c r="R51" s="23">
        <f t="shared" si="9"/>
        <v>0</v>
      </c>
      <c r="S51" s="2"/>
      <c r="T51" s="2">
        <v>226768</v>
      </c>
      <c r="U51" s="2"/>
      <c r="V51" s="23">
        <f t="shared" si="10"/>
        <v>0.46250112174388341</v>
      </c>
      <c r="W51" s="2"/>
      <c r="X51" s="2">
        <f t="shared" si="11"/>
        <v>-226768</v>
      </c>
      <c r="Y51" s="2"/>
      <c r="Z51" s="23">
        <f t="shared" si="12"/>
        <v>-1</v>
      </c>
    </row>
    <row r="52" spans="1:26" s="24" customFormat="1" hidden="1" outlineLevel="1" x14ac:dyDescent="0.25">
      <c r="A52" s="51"/>
      <c r="B52" s="11" t="str">
        <f>CONCATENATE("          ", "5027", " - ", "PURCHASES @ COST-SCHOOL SUPPLI")</f>
        <v xml:space="preserve">          5027 - PURCHASES @ COST-SCHOOL SUPPLI</v>
      </c>
      <c r="C52" s="11"/>
      <c r="D52" s="2"/>
      <c r="E52" s="2"/>
      <c r="F52" s="23">
        <f t="shared" si="5"/>
        <v>0</v>
      </c>
      <c r="G52" s="2"/>
      <c r="H52" s="2"/>
      <c r="I52" s="2"/>
      <c r="J52" s="23">
        <f t="shared" si="6"/>
        <v>0</v>
      </c>
      <c r="K52" s="2"/>
      <c r="L52" s="2">
        <f t="shared" si="7"/>
        <v>0</v>
      </c>
      <c r="M52" s="2"/>
      <c r="N52" s="23">
        <f t="shared" si="8"/>
        <v>0</v>
      </c>
      <c r="O52" s="11"/>
      <c r="P52" s="2">
        <v>8503.4</v>
      </c>
      <c r="Q52" s="2"/>
      <c r="R52" s="23">
        <f t="shared" si="9"/>
        <v>1.9495963965871672E-2</v>
      </c>
      <c r="S52" s="2"/>
      <c r="T52" s="2"/>
      <c r="U52" s="2"/>
      <c r="V52" s="23">
        <f t="shared" si="10"/>
        <v>0</v>
      </c>
      <c r="W52" s="2"/>
      <c r="X52" s="2">
        <f t="shared" si="11"/>
        <v>8503.4</v>
      </c>
      <c r="Y52" s="2"/>
      <c r="Z52" s="23">
        <f t="shared" si="12"/>
        <v>0</v>
      </c>
    </row>
    <row r="53" spans="1:26" s="24" customFormat="1" hidden="1" outlineLevel="1" x14ac:dyDescent="0.25">
      <c r="A53" s="51"/>
      <c r="B53" s="11" t="str">
        <f>CONCATENATE("          ", "5040", " - ", "PURCHASES @ COST-LOGO CLOTHING")</f>
        <v xml:space="preserve">          5040 - PURCHASES @ COST-LOGO CLOTHING</v>
      </c>
      <c r="C53" s="11"/>
      <c r="D53" s="2">
        <v>7628.83</v>
      </c>
      <c r="E53" s="2"/>
      <c r="F53" s="23">
        <f t="shared" si="5"/>
        <v>2.646500730483782E-2</v>
      </c>
      <c r="G53" s="2"/>
      <c r="H53" s="2"/>
      <c r="I53" s="2"/>
      <c r="J53" s="23">
        <f t="shared" si="6"/>
        <v>0</v>
      </c>
      <c r="K53" s="2"/>
      <c r="L53" s="2">
        <f t="shared" si="7"/>
        <v>7628.83</v>
      </c>
      <c r="M53" s="2"/>
      <c r="N53" s="23">
        <f t="shared" si="8"/>
        <v>0</v>
      </c>
      <c r="O53" s="11"/>
      <c r="P53" s="2">
        <v>9351.9</v>
      </c>
      <c r="Q53" s="2"/>
      <c r="R53" s="23">
        <f t="shared" si="9"/>
        <v>2.1441341747117072E-2</v>
      </c>
      <c r="S53" s="2"/>
      <c r="T53" s="2"/>
      <c r="U53" s="2"/>
      <c r="V53" s="23">
        <f t="shared" si="10"/>
        <v>0</v>
      </c>
      <c r="W53" s="2"/>
      <c r="X53" s="2">
        <f t="shared" si="11"/>
        <v>9351.9</v>
      </c>
      <c r="Y53" s="2"/>
      <c r="Z53" s="23">
        <f t="shared" si="12"/>
        <v>0</v>
      </c>
    </row>
    <row r="54" spans="1:26" s="24" customFormat="1" hidden="1" outlineLevel="1" x14ac:dyDescent="0.25">
      <c r="A54" s="51"/>
      <c r="B54" s="11" t="str">
        <f>CONCATENATE("          ", "5041", " - ", "PURCHASES @ COST-LOGO GIFTS")</f>
        <v xml:space="preserve">          5041 - PURCHASES @ COST-LOGO GIFTS</v>
      </c>
      <c r="C54" s="11"/>
      <c r="D54" s="2">
        <v>1843.29</v>
      </c>
      <c r="E54" s="2"/>
      <c r="F54" s="23">
        <f t="shared" si="5"/>
        <v>6.3945170248825185E-3</v>
      </c>
      <c r="G54" s="2"/>
      <c r="H54" s="2"/>
      <c r="I54" s="2"/>
      <c r="J54" s="23">
        <f t="shared" si="6"/>
        <v>0</v>
      </c>
      <c r="K54" s="2"/>
      <c r="L54" s="2">
        <f t="shared" si="7"/>
        <v>1843.29</v>
      </c>
      <c r="M54" s="2"/>
      <c r="N54" s="23">
        <f t="shared" si="8"/>
        <v>0</v>
      </c>
      <c r="O54" s="11"/>
      <c r="P54" s="2">
        <v>1129.54</v>
      </c>
      <c r="Q54" s="2"/>
      <c r="R54" s="23">
        <f t="shared" si="9"/>
        <v>2.5897254201861244E-3</v>
      </c>
      <c r="S54" s="2"/>
      <c r="T54" s="2"/>
      <c r="U54" s="2"/>
      <c r="V54" s="23">
        <f t="shared" si="10"/>
        <v>0</v>
      </c>
      <c r="W54" s="2"/>
      <c r="X54" s="2">
        <f t="shared" si="11"/>
        <v>1129.54</v>
      </c>
      <c r="Y54" s="2"/>
      <c r="Z54" s="23">
        <f t="shared" si="12"/>
        <v>0</v>
      </c>
    </row>
    <row r="55" spans="1:26" s="24" customFormat="1" hidden="1" outlineLevel="1" x14ac:dyDescent="0.25">
      <c r="A55" s="51"/>
      <c r="B55" s="11" t="str">
        <f>CONCATENATE("          ", "5042", " - ", "PURCHASES @ COST-EVERYDAY GIFT")</f>
        <v xml:space="preserve">          5042 - PURCHASES @ COST-EVERYDAY GIFT</v>
      </c>
      <c r="C55" s="11"/>
      <c r="D55" s="2">
        <v>732.99</v>
      </c>
      <c r="E55" s="2"/>
      <c r="F55" s="23">
        <f t="shared" si="5"/>
        <v>2.5427995779658315E-3</v>
      </c>
      <c r="G55" s="2"/>
      <c r="H55" s="2"/>
      <c r="I55" s="2"/>
      <c r="J55" s="23">
        <f t="shared" si="6"/>
        <v>0</v>
      </c>
      <c r="K55" s="2"/>
      <c r="L55" s="2">
        <f t="shared" si="7"/>
        <v>732.99</v>
      </c>
      <c r="M55" s="2"/>
      <c r="N55" s="23">
        <f t="shared" si="8"/>
        <v>0</v>
      </c>
      <c r="O55" s="11"/>
      <c r="P55" s="2">
        <v>969.15</v>
      </c>
      <c r="Q55" s="2"/>
      <c r="R55" s="23">
        <f t="shared" si="9"/>
        <v>2.2219951404761074E-3</v>
      </c>
      <c r="S55" s="2"/>
      <c r="T55" s="2"/>
      <c r="U55" s="2"/>
      <c r="V55" s="23">
        <f t="shared" si="10"/>
        <v>0</v>
      </c>
      <c r="W55" s="2"/>
      <c r="X55" s="2">
        <f t="shared" si="11"/>
        <v>969.15</v>
      </c>
      <c r="Y55" s="2"/>
      <c r="Z55" s="23">
        <f t="shared" si="12"/>
        <v>0</v>
      </c>
    </row>
    <row r="56" spans="1:26" s="24" customFormat="1" hidden="1" outlineLevel="1" x14ac:dyDescent="0.25">
      <c r="A56" s="51"/>
      <c r="B56" s="11" t="str">
        <f>CONCATENATE("          ", "5043", " - ", "PURCHASES @ COST-CARDS")</f>
        <v xml:space="preserve">          5043 - PURCHASES @ COST-CARDS</v>
      </c>
      <c r="C56" s="11"/>
      <c r="D56" s="2">
        <v>1406.55</v>
      </c>
      <c r="E56" s="2"/>
      <c r="F56" s="23">
        <f t="shared" si="5"/>
        <v>4.8794318427097779E-3</v>
      </c>
      <c r="G56" s="2"/>
      <c r="H56" s="2"/>
      <c r="I56" s="2"/>
      <c r="J56" s="23">
        <f t="shared" si="6"/>
        <v>0</v>
      </c>
      <c r="K56" s="2"/>
      <c r="L56" s="2">
        <f t="shared" si="7"/>
        <v>1406.55</v>
      </c>
      <c r="M56" s="2"/>
      <c r="N56" s="23">
        <f t="shared" si="8"/>
        <v>0</v>
      </c>
      <c r="O56" s="11"/>
      <c r="P56" s="2">
        <v>1715.25</v>
      </c>
      <c r="Q56" s="2"/>
      <c r="R56" s="23">
        <f t="shared" si="9"/>
        <v>3.9325978070491084E-3</v>
      </c>
      <c r="S56" s="2"/>
      <c r="T56" s="2"/>
      <c r="U56" s="2"/>
      <c r="V56" s="23">
        <f t="shared" si="10"/>
        <v>0</v>
      </c>
      <c r="W56" s="2"/>
      <c r="X56" s="2">
        <f t="shared" si="11"/>
        <v>1715.25</v>
      </c>
      <c r="Y56" s="2"/>
      <c r="Z56" s="23">
        <f t="shared" si="12"/>
        <v>0</v>
      </c>
    </row>
    <row r="57" spans="1:26" s="24" customFormat="1" hidden="1" outlineLevel="1" x14ac:dyDescent="0.25">
      <c r="A57" s="51"/>
      <c r="B57" s="11" t="str">
        <f>CONCATENATE("          ", "5045", " - ", "PURCHASES @ COST-SPECIAL ORDER")</f>
        <v xml:space="preserve">          5045 - PURCHASES @ COST-SPECIAL ORDER</v>
      </c>
      <c r="C57" s="11"/>
      <c r="D57" s="2">
        <v>5633.96</v>
      </c>
      <c r="E57" s="2"/>
      <c r="F57" s="23">
        <f t="shared" si="5"/>
        <v>1.9544647417122165E-2</v>
      </c>
      <c r="G57" s="2"/>
      <c r="H57" s="2"/>
      <c r="I57" s="2"/>
      <c r="J57" s="23">
        <f t="shared" si="6"/>
        <v>0</v>
      </c>
      <c r="K57" s="2"/>
      <c r="L57" s="2">
        <f t="shared" si="7"/>
        <v>5633.96</v>
      </c>
      <c r="M57" s="2"/>
      <c r="N57" s="23">
        <f t="shared" si="8"/>
        <v>0</v>
      </c>
      <c r="O57" s="11"/>
      <c r="P57" s="2">
        <v>8390.17</v>
      </c>
      <c r="Q57" s="2"/>
      <c r="R57" s="23">
        <f t="shared" si="9"/>
        <v>1.9236358631551796E-2</v>
      </c>
      <c r="S57" s="2"/>
      <c r="T57" s="2"/>
      <c r="U57" s="2"/>
      <c r="V57" s="23">
        <f t="shared" si="10"/>
        <v>0</v>
      </c>
      <c r="W57" s="2"/>
      <c r="X57" s="2">
        <f t="shared" si="11"/>
        <v>8390.17</v>
      </c>
      <c r="Y57" s="2"/>
      <c r="Z57" s="23">
        <f t="shared" si="12"/>
        <v>0</v>
      </c>
    </row>
    <row r="58" spans="1:26" s="24" customFormat="1" hidden="1" outlineLevel="1" x14ac:dyDescent="0.25">
      <c r="A58" s="51"/>
      <c r="B58" s="11" t="str">
        <f>CONCATENATE("          ", "5200", " - ", "PURCHASES OFFSET")</f>
        <v xml:space="preserve">          5200 - PURCHASES OFFSET</v>
      </c>
      <c r="C58" s="11"/>
      <c r="D58" s="2">
        <v>-18536.04</v>
      </c>
      <c r="E58" s="2"/>
      <c r="F58" s="23">
        <f t="shared" si="5"/>
        <v>-6.4302970967077003E-2</v>
      </c>
      <c r="G58" s="2"/>
      <c r="H58" s="2"/>
      <c r="I58" s="2"/>
      <c r="J58" s="23">
        <f t="shared" si="6"/>
        <v>0</v>
      </c>
      <c r="K58" s="2"/>
      <c r="L58" s="2">
        <f t="shared" si="7"/>
        <v>-18536.04</v>
      </c>
      <c r="M58" s="2"/>
      <c r="N58" s="23">
        <f t="shared" si="8"/>
        <v>0</v>
      </c>
      <c r="O58" s="11"/>
      <c r="P58" s="2">
        <v>-31649.64</v>
      </c>
      <c r="Q58" s="2"/>
      <c r="R58" s="23">
        <f t="shared" si="9"/>
        <v>-7.256394394863358E-2</v>
      </c>
      <c r="S58" s="2"/>
      <c r="T58" s="2"/>
      <c r="U58" s="2"/>
      <c r="V58" s="23">
        <f t="shared" si="10"/>
        <v>0</v>
      </c>
      <c r="W58" s="2"/>
      <c r="X58" s="2">
        <f t="shared" si="11"/>
        <v>-31649.64</v>
      </c>
      <c r="Y58" s="2"/>
      <c r="Z58" s="23">
        <f t="shared" si="12"/>
        <v>0</v>
      </c>
    </row>
    <row r="59" spans="1:26" s="24" customFormat="1" hidden="1" outlineLevel="1" x14ac:dyDescent="0.25">
      <c r="A59" s="51"/>
      <c r="B59" s="11" t="str">
        <f>CONCATENATE("          ", "5300", " - ", "COG$ OFFSET")</f>
        <v xml:space="preserve">          5300 - COG$ OFFSET</v>
      </c>
      <c r="C59" s="11"/>
      <c r="D59" s="2">
        <v>171786</v>
      </c>
      <c r="E59" s="2"/>
      <c r="F59" s="23">
        <f t="shared" si="5"/>
        <v>0.59593905551295145</v>
      </c>
      <c r="G59" s="2"/>
      <c r="H59" s="2"/>
      <c r="I59" s="2"/>
      <c r="J59" s="23">
        <f t="shared" si="6"/>
        <v>0</v>
      </c>
      <c r="K59" s="2"/>
      <c r="L59" s="2">
        <f t="shared" si="7"/>
        <v>171786</v>
      </c>
      <c r="M59" s="2"/>
      <c r="N59" s="23">
        <f t="shared" si="8"/>
        <v>0</v>
      </c>
      <c r="O59" s="11"/>
      <c r="P59" s="2">
        <v>270956</v>
      </c>
      <c r="Q59" s="2"/>
      <c r="R59" s="23">
        <f t="shared" si="9"/>
        <v>0.62122779268724571</v>
      </c>
      <c r="S59" s="2"/>
      <c r="T59" s="2"/>
      <c r="U59" s="2"/>
      <c r="V59" s="23">
        <f t="shared" si="10"/>
        <v>0</v>
      </c>
      <c r="W59" s="2"/>
      <c r="X59" s="2">
        <f t="shared" si="11"/>
        <v>270956</v>
      </c>
      <c r="Y59" s="2"/>
      <c r="Z59" s="23">
        <f t="shared" si="12"/>
        <v>0</v>
      </c>
    </row>
    <row r="60" spans="1:26" s="24" customFormat="1" hidden="1" outlineLevel="1" x14ac:dyDescent="0.25">
      <c r="A60" s="51"/>
      <c r="B60" s="11" t="str">
        <f>CONCATENATE("          ", "5540", " - ", "FREIGHT-IN-LOGO CLOTHING")</f>
        <v xml:space="preserve">          5540 - FREIGHT-IN-LOGO CLOTHING</v>
      </c>
      <c r="C60" s="11"/>
      <c r="D60" s="2">
        <v>1021.7</v>
      </c>
      <c r="E60" s="2"/>
      <c r="F60" s="23">
        <f t="shared" si="5"/>
        <v>3.5443571246643068E-3</v>
      </c>
      <c r="G60" s="2"/>
      <c r="H60" s="2"/>
      <c r="I60" s="2"/>
      <c r="J60" s="23">
        <f t="shared" si="6"/>
        <v>0</v>
      </c>
      <c r="K60" s="2"/>
      <c r="L60" s="2">
        <f t="shared" si="7"/>
        <v>1021.7</v>
      </c>
      <c r="M60" s="2"/>
      <c r="N60" s="23">
        <f t="shared" si="8"/>
        <v>0</v>
      </c>
      <c r="O60" s="11"/>
      <c r="P60" s="2">
        <v>1931.53</v>
      </c>
      <c r="Q60" s="2"/>
      <c r="R60" s="23">
        <f t="shared" si="9"/>
        <v>4.4284685277653779E-3</v>
      </c>
      <c r="S60" s="2"/>
      <c r="T60" s="2"/>
      <c r="U60" s="2"/>
      <c r="V60" s="23">
        <f t="shared" si="10"/>
        <v>0</v>
      </c>
      <c r="W60" s="2"/>
      <c r="X60" s="2">
        <f t="shared" si="11"/>
        <v>1931.53</v>
      </c>
      <c r="Y60" s="2"/>
      <c r="Z60" s="23">
        <f t="shared" si="12"/>
        <v>0</v>
      </c>
    </row>
    <row r="61" spans="1:26" s="24" customFormat="1" hidden="1" outlineLevel="1" x14ac:dyDescent="0.25">
      <c r="A61" s="51"/>
      <c r="B61" s="11" t="str">
        <f>CONCATENATE("          ", "5541", " - ", "FREIGHT-IN-LOGO GIFTS")</f>
        <v xml:space="preserve">          5541 - FREIGHT-IN-LOGO GIFTS</v>
      </c>
      <c r="C61" s="11"/>
      <c r="D61" s="2">
        <v>123.12</v>
      </c>
      <c r="E61" s="2"/>
      <c r="F61" s="23">
        <f t="shared" si="5"/>
        <v>4.2711289927441464E-4</v>
      </c>
      <c r="G61" s="2"/>
      <c r="H61" s="2"/>
      <c r="I61" s="2"/>
      <c r="J61" s="23">
        <f t="shared" si="6"/>
        <v>0</v>
      </c>
      <c r="K61" s="2"/>
      <c r="L61" s="2">
        <f t="shared" si="7"/>
        <v>123.12</v>
      </c>
      <c r="M61" s="2"/>
      <c r="N61" s="23">
        <f t="shared" si="8"/>
        <v>0</v>
      </c>
      <c r="O61" s="11"/>
      <c r="P61" s="2">
        <v>206.7</v>
      </c>
      <c r="Q61" s="2"/>
      <c r="R61" s="23">
        <f t="shared" si="9"/>
        <v>4.739064082303167E-4</v>
      </c>
      <c r="S61" s="2"/>
      <c r="T61" s="2"/>
      <c r="U61" s="2"/>
      <c r="V61" s="23">
        <f t="shared" si="10"/>
        <v>0</v>
      </c>
      <c r="W61" s="2"/>
      <c r="X61" s="2">
        <f t="shared" si="11"/>
        <v>206.7</v>
      </c>
      <c r="Y61" s="2"/>
      <c r="Z61" s="23">
        <f t="shared" si="12"/>
        <v>0</v>
      </c>
    </row>
    <row r="62" spans="1:26" s="24" customFormat="1" hidden="1" outlineLevel="1" x14ac:dyDescent="0.25">
      <c r="A62" s="51"/>
      <c r="B62" s="11" t="str">
        <f>CONCATENATE("          ", "5542", " - ", "FREIGHT-IN-EVERYDAY GIFTS")</f>
        <v xml:space="preserve">          5542 - FREIGHT-IN-EVERYDAY GIFTS</v>
      </c>
      <c r="C62" s="11"/>
      <c r="D62" s="2"/>
      <c r="E62" s="2"/>
      <c r="F62" s="23">
        <f t="shared" si="5"/>
        <v>0</v>
      </c>
      <c r="G62" s="2"/>
      <c r="H62" s="2"/>
      <c r="I62" s="2"/>
      <c r="J62" s="23">
        <f t="shared" si="6"/>
        <v>0</v>
      </c>
      <c r="K62" s="2"/>
      <c r="L62" s="2">
        <f t="shared" si="7"/>
        <v>0</v>
      </c>
      <c r="M62" s="2"/>
      <c r="N62" s="23">
        <f t="shared" si="8"/>
        <v>0</v>
      </c>
      <c r="O62" s="11"/>
      <c r="P62" s="2">
        <v>5.94</v>
      </c>
      <c r="Q62" s="2"/>
      <c r="R62" s="23">
        <f t="shared" si="9"/>
        <v>1.3618790831582397E-5</v>
      </c>
      <c r="S62" s="2"/>
      <c r="T62" s="2"/>
      <c r="U62" s="2"/>
      <c r="V62" s="23">
        <f t="shared" si="10"/>
        <v>0</v>
      </c>
      <c r="W62" s="2"/>
      <c r="X62" s="2">
        <f t="shared" si="11"/>
        <v>5.94</v>
      </c>
      <c r="Y62" s="2"/>
      <c r="Z62" s="23">
        <f t="shared" si="12"/>
        <v>0</v>
      </c>
    </row>
    <row r="63" spans="1:26" s="24" customFormat="1" hidden="1" outlineLevel="1" x14ac:dyDescent="0.25">
      <c r="A63" s="51"/>
      <c r="B63" s="11" t="str">
        <f>CONCATENATE("          ", "5545", " - ", "FREIGHT-IN-SPECIAL ORDERS")</f>
        <v xml:space="preserve">          5545 - FREIGHT-IN-SPECIAL ORDERS</v>
      </c>
      <c r="C63" s="11"/>
      <c r="D63" s="2">
        <v>145.6</v>
      </c>
      <c r="E63" s="2"/>
      <c r="F63" s="23">
        <f t="shared" si="5"/>
        <v>5.0509777562016546E-4</v>
      </c>
      <c r="G63" s="2"/>
      <c r="H63" s="2"/>
      <c r="I63" s="2"/>
      <c r="J63" s="23">
        <f t="shared" si="6"/>
        <v>0</v>
      </c>
      <c r="K63" s="2"/>
      <c r="L63" s="2">
        <f t="shared" si="7"/>
        <v>145.6</v>
      </c>
      <c r="M63" s="2"/>
      <c r="N63" s="23">
        <f t="shared" si="8"/>
        <v>0</v>
      </c>
      <c r="O63" s="11"/>
      <c r="P63" s="2">
        <v>446</v>
      </c>
      <c r="Q63" s="2"/>
      <c r="R63" s="23">
        <f t="shared" si="9"/>
        <v>1.022555675233291E-3</v>
      </c>
      <c r="S63" s="2"/>
      <c r="T63" s="2"/>
      <c r="U63" s="2"/>
      <c r="V63" s="23">
        <f t="shared" si="10"/>
        <v>0</v>
      </c>
      <c r="W63" s="2"/>
      <c r="X63" s="2">
        <f t="shared" si="11"/>
        <v>446</v>
      </c>
      <c r="Y63" s="2"/>
      <c r="Z63" s="23">
        <f t="shared" si="12"/>
        <v>0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2" customFormat="1" x14ac:dyDescent="0.25">
      <c r="A65" s="10"/>
      <c r="B65" s="26" t="s">
        <v>6</v>
      </c>
      <c r="C65" s="26"/>
      <c r="D65" s="21">
        <f>D12-D50</f>
        <v>116475.01999999996</v>
      </c>
      <c r="E65" s="13"/>
      <c r="F65" s="20">
        <f>IF(D$12=0,0,D65/D$12)</f>
        <v>0.40406094448704849</v>
      </c>
      <c r="G65" s="13"/>
      <c r="H65" s="21">
        <f>H12-H50</f>
        <v>166230</v>
      </c>
      <c r="I65" s="13"/>
      <c r="J65" s="20">
        <f>IF(H$12=0,0,H65/H$12)</f>
        <v>0.53750020209205696</v>
      </c>
      <c r="K65" s="16"/>
      <c r="L65" s="21">
        <f>+D65-H65</f>
        <v>-49754.98000000004</v>
      </c>
      <c r="M65" s="16"/>
      <c r="N65" s="20">
        <f>IF(H65=0,0,L65/H65)</f>
        <v>-0.29931408289719086</v>
      </c>
      <c r="O65" s="25"/>
      <c r="P65" s="21">
        <f>P12-P50</f>
        <v>164206.13</v>
      </c>
      <c r="Q65" s="13"/>
      <c r="R65" s="20">
        <f>IF(P$12=0,0,P65/P$12)</f>
        <v>0.37647961914707528</v>
      </c>
      <c r="S65" s="13"/>
      <c r="T65" s="21">
        <f>T12-T50</f>
        <v>263540</v>
      </c>
      <c r="U65" s="13"/>
      <c r="V65" s="20">
        <f>IF(T$12=0,0,T65/T$12)</f>
        <v>0.53749887825611653</v>
      </c>
      <c r="W65" s="16"/>
      <c r="X65" s="21">
        <f>+P65-T65</f>
        <v>-99333.87</v>
      </c>
      <c r="Y65" s="16"/>
      <c r="Z65" s="20">
        <f>IF(T65=0,0,X65/T65)</f>
        <v>-0.37692141610381724</v>
      </c>
    </row>
    <row r="66" spans="1:26" x14ac:dyDescent="0.25">
      <c r="A66" s="9"/>
      <c r="B66" s="10"/>
      <c r="C66" s="9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2" customFormat="1" x14ac:dyDescent="0.25">
      <c r="A67" s="10"/>
      <c r="B67" s="25" t="s">
        <v>9</v>
      </c>
      <c r="C67" s="10"/>
      <c r="D67" s="19">
        <f>SUM(OSRRefD22x_0)</f>
        <v>60098.720000000001</v>
      </c>
      <c r="E67" s="19"/>
      <c r="F67" s="30">
        <f t="shared" ref="F67:F77" si="13">IF(D$12=0,0,D67/D$12)</f>
        <v>0.20848715514848318</v>
      </c>
      <c r="G67" s="19"/>
      <c r="H67" s="19">
        <f>SUM(OSRRefH22x_0)</f>
        <v>101691.7026480769</v>
      </c>
      <c r="I67" s="19"/>
      <c r="J67" s="30">
        <f t="shared" ref="J67:J77" si="14">IF(H$12=0,0,H67/H$12)</f>
        <v>0.32881736584507426</v>
      </c>
      <c r="K67" s="4"/>
      <c r="L67" s="19">
        <f t="shared" ref="L67:L77" si="15">+D67-H67</f>
        <v>-41592.982648076897</v>
      </c>
      <c r="M67" s="4"/>
      <c r="N67" s="30">
        <f t="shared" ref="N67:N77" si="16">IF(H67=0,0,L67/H67)</f>
        <v>-0.40901058360697501</v>
      </c>
      <c r="O67" s="10"/>
      <c r="P67" s="19">
        <f>SUM(OSRRefP22x_0)</f>
        <v>99809.78</v>
      </c>
      <c r="Q67" s="19"/>
      <c r="R67" s="30">
        <f t="shared" ref="R67:R77" si="17">IF(P$12=0,0,P67/P$12)</f>
        <v>0.22883645063404984</v>
      </c>
      <c r="S67" s="19"/>
      <c r="T67" s="19">
        <f>SUM(OSRRefT22x_0)</f>
        <v>198682.86329692308</v>
      </c>
      <c r="U67" s="19"/>
      <c r="V67" s="30">
        <f t="shared" ref="V67:V77" si="18">IF(T$12=0,0,T67/T$12)</f>
        <v>0.40522052117632812</v>
      </c>
      <c r="W67" s="4"/>
      <c r="X67" s="19">
        <f t="shared" ref="X67:X77" si="19">+P67-T67</f>
        <v>-98873.083296923083</v>
      </c>
      <c r="Y67" s="4"/>
      <c r="Z67" s="30">
        <f t="shared" ref="Z67:Z77" si="20">IF(T67=0,0,X67/T67)</f>
        <v>-0.49764273403469866</v>
      </c>
    </row>
    <row r="68" spans="1:26" s="29" customFormat="1" outlineLevel="1" collapsed="1" x14ac:dyDescent="0.25">
      <c r="A68" s="28"/>
      <c r="B68" s="14" t="str">
        <f>CONCATENATE("     ","*Benefits                                         ")</f>
        <v xml:space="preserve">     *Benefits                                         </v>
      </c>
      <c r="C68" s="14"/>
      <c r="D68" s="1">
        <f>SUM(OSRRefD22_0x_0)</f>
        <v>10388.86</v>
      </c>
      <c r="E68" s="1"/>
      <c r="F68" s="5">
        <f t="shared" si="13"/>
        <v>3.6039767013937581E-2</v>
      </c>
      <c r="G68" s="1"/>
      <c r="H68" s="1">
        <f>SUM(OSRRefH22_0x_0)</f>
        <v>14501.818032692303</v>
      </c>
      <c r="I68" s="1"/>
      <c r="J68" s="5">
        <f t="shared" si="14"/>
        <v>4.6891235777382835E-2</v>
      </c>
      <c r="K68" s="1"/>
      <c r="L68" s="1">
        <f t="shared" si="15"/>
        <v>-4112.9580326923024</v>
      </c>
      <c r="M68" s="1"/>
      <c r="N68" s="5">
        <f t="shared" si="16"/>
        <v>-0.28361671780877534</v>
      </c>
      <c r="O68" s="14"/>
      <c r="P68" s="1">
        <f>SUM(OSRRefP22_0x_0)</f>
        <v>19271.57</v>
      </c>
      <c r="Q68" s="1"/>
      <c r="R68" s="5">
        <f t="shared" si="17"/>
        <v>4.4184424381514875E-2</v>
      </c>
      <c r="S68" s="1"/>
      <c r="T68" s="1">
        <f>SUM(OSRRefT22_0x_0)</f>
        <v>29728.247912307677</v>
      </c>
      <c r="U68" s="1"/>
      <c r="V68" s="5">
        <f t="shared" si="18"/>
        <v>6.0631782292574619E-2</v>
      </c>
      <c r="W68" s="1"/>
      <c r="X68" s="1">
        <f t="shared" si="19"/>
        <v>-10456.677912307678</v>
      </c>
      <c r="Y68" s="1"/>
      <c r="Z68" s="5">
        <f t="shared" si="20"/>
        <v>-0.35174215255311259</v>
      </c>
    </row>
    <row r="69" spans="1:26" s="24" customFormat="1" hidden="1" outlineLevel="2" x14ac:dyDescent="0.25">
      <c r="A69" s="27"/>
      <c r="B69" s="11" t="str">
        <f>CONCATENATE("          ", "6111", " - ", "F.I.C.A.")</f>
        <v xml:space="preserve">          6111 - F.I.C.A.</v>
      </c>
      <c r="C69" s="11"/>
      <c r="D69" s="6">
        <v>2014.11</v>
      </c>
      <c r="E69" s="2"/>
      <c r="F69" s="7">
        <f t="shared" si="13"/>
        <v>6.9871049509226055E-3</v>
      </c>
      <c r="G69" s="2"/>
      <c r="H69" s="6">
        <v>4317.74901346154</v>
      </c>
      <c r="I69" s="2"/>
      <c r="J69" s="7">
        <f t="shared" si="14"/>
        <v>1.3961324474032108E-2</v>
      </c>
      <c r="K69" s="2"/>
      <c r="L69" s="6">
        <f t="shared" si="15"/>
        <v>-2303.6390134615403</v>
      </c>
      <c r="M69" s="2"/>
      <c r="N69" s="7">
        <f t="shared" si="16"/>
        <v>-0.53352777252207917</v>
      </c>
      <c r="O69" s="11"/>
      <c r="P69" s="6">
        <v>3414.17</v>
      </c>
      <c r="Q69" s="2"/>
      <c r="R69" s="7">
        <f t="shared" si="17"/>
        <v>7.8277554029400117E-3</v>
      </c>
      <c r="S69" s="2"/>
      <c r="T69" s="6">
        <v>8550.8852815384616</v>
      </c>
      <c r="U69" s="2"/>
      <c r="V69" s="7">
        <f t="shared" si="18"/>
        <v>1.7439824113696822E-2</v>
      </c>
      <c r="W69" s="2"/>
      <c r="X69" s="6">
        <f t="shared" si="19"/>
        <v>-5136.7152815384616</v>
      </c>
      <c r="Y69" s="2"/>
      <c r="Z69" s="7">
        <f t="shared" si="20"/>
        <v>-0.60072321314247268</v>
      </c>
    </row>
    <row r="70" spans="1:26" s="24" customFormat="1" hidden="1" outlineLevel="2" x14ac:dyDescent="0.25">
      <c r="A70" s="27"/>
      <c r="B70" s="11" t="str">
        <f>CONCATENATE("          ", "6112", " - ", "COMPENSATION INSURANCE")</f>
        <v xml:space="preserve">          6112 - COMPENSATION INSURANCE</v>
      </c>
      <c r="C70" s="11"/>
      <c r="D70" s="6">
        <v>600.29</v>
      </c>
      <c r="E70" s="2"/>
      <c r="F70" s="7">
        <f t="shared" si="13"/>
        <v>2.0824529102131117E-3</v>
      </c>
      <c r="G70" s="2"/>
      <c r="H70" s="6">
        <v>1043.75221153846</v>
      </c>
      <c r="I70" s="2"/>
      <c r="J70" s="7">
        <f t="shared" si="14"/>
        <v>3.3749445024120412E-3</v>
      </c>
      <c r="K70" s="2"/>
      <c r="L70" s="6">
        <f t="shared" si="15"/>
        <v>-443.46221153846</v>
      </c>
      <c r="M70" s="2"/>
      <c r="N70" s="7">
        <f t="shared" si="16"/>
        <v>-0.42487307488892384</v>
      </c>
      <c r="O70" s="11"/>
      <c r="P70" s="6">
        <v>962.34</v>
      </c>
      <c r="Q70" s="2"/>
      <c r="R70" s="7">
        <f t="shared" si="17"/>
        <v>2.2063816782601016E-3</v>
      </c>
      <c r="S70" s="2"/>
      <c r="T70" s="6">
        <v>2067.0505384615399</v>
      </c>
      <c r="U70" s="2"/>
      <c r="V70" s="7">
        <f t="shared" si="18"/>
        <v>4.2158205423153197E-3</v>
      </c>
      <c r="W70" s="2"/>
      <c r="X70" s="6">
        <f t="shared" si="19"/>
        <v>-1104.7105384615397</v>
      </c>
      <c r="Y70" s="2"/>
      <c r="Z70" s="7">
        <f t="shared" si="20"/>
        <v>-0.53443808842900931</v>
      </c>
    </row>
    <row r="71" spans="1:26" s="24" customFormat="1" hidden="1" outlineLevel="2" x14ac:dyDescent="0.25">
      <c r="A71" s="27"/>
      <c r="B71" s="11" t="str">
        <f>CONCATENATE("          ", "6113", " - ", "GROUP INSURANCE")</f>
        <v xml:space="preserve">          6113 - GROUP INSURANCE</v>
      </c>
      <c r="C71" s="11"/>
      <c r="D71" s="6">
        <v>3662.35</v>
      </c>
      <c r="E71" s="2"/>
      <c r="F71" s="7">
        <f t="shared" si="13"/>
        <v>1.2704978286693083E-2</v>
      </c>
      <c r="G71" s="2"/>
      <c r="H71" s="6">
        <v>4968.8461538461497</v>
      </c>
      <c r="I71" s="2"/>
      <c r="J71" s="7">
        <f t="shared" si="14"/>
        <v>1.606662944027339E-2</v>
      </c>
      <c r="K71" s="2"/>
      <c r="L71" s="6">
        <f t="shared" si="15"/>
        <v>-1306.4961538461498</v>
      </c>
      <c r="M71" s="2"/>
      <c r="N71" s="7">
        <f t="shared" si="16"/>
        <v>-0.26293753386484964</v>
      </c>
      <c r="O71" s="11"/>
      <c r="P71" s="6">
        <v>6488.48</v>
      </c>
      <c r="Q71" s="2"/>
      <c r="R71" s="7">
        <f t="shared" si="17"/>
        <v>1.4876305039546421E-2</v>
      </c>
      <c r="S71" s="2"/>
      <c r="T71" s="6">
        <v>10091.15384615384</v>
      </c>
      <c r="U71" s="2"/>
      <c r="V71" s="7">
        <f t="shared" si="18"/>
        <v>2.0581254734072952E-2</v>
      </c>
      <c r="W71" s="2"/>
      <c r="X71" s="6">
        <f t="shared" si="19"/>
        <v>-3602.6738461538407</v>
      </c>
      <c r="Y71" s="2"/>
      <c r="Z71" s="7">
        <f t="shared" si="20"/>
        <v>-0.35701307314098379</v>
      </c>
    </row>
    <row r="72" spans="1:26" s="24" customFormat="1" hidden="1" outlineLevel="2" x14ac:dyDescent="0.25">
      <c r="A72" s="27"/>
      <c r="B72" s="11" t="str">
        <f>CONCATENATE("          ", "6114", " - ", "STATE UNEMPLOYMENT INSURANCE")</f>
        <v xml:space="preserve">          6114 - STATE UNEMPLOYMENT INSURANCE</v>
      </c>
      <c r="C72" s="11"/>
      <c r="D72" s="6">
        <v>71.73</v>
      </c>
      <c r="E72" s="2"/>
      <c r="F72" s="7">
        <f t="shared" si="13"/>
        <v>2.4883697421177522E-4</v>
      </c>
      <c r="G72" s="2"/>
      <c r="H72" s="6">
        <v>146.68950000000001</v>
      </c>
      <c r="I72" s="2"/>
      <c r="J72" s="7">
        <f t="shared" si="14"/>
        <v>4.7431652466331466E-4</v>
      </c>
      <c r="K72" s="2"/>
      <c r="L72" s="6">
        <f t="shared" si="15"/>
        <v>-74.959500000000006</v>
      </c>
      <c r="M72" s="2"/>
      <c r="N72" s="7">
        <f t="shared" si="16"/>
        <v>-0.51100794535396199</v>
      </c>
      <c r="O72" s="11"/>
      <c r="P72" s="6">
        <v>115.48</v>
      </c>
      <c r="Q72" s="2"/>
      <c r="R72" s="7">
        <f t="shared" si="17"/>
        <v>2.6476396721062881E-4</v>
      </c>
      <c r="S72" s="2"/>
      <c r="T72" s="6">
        <v>290.50439999999998</v>
      </c>
      <c r="U72" s="2"/>
      <c r="V72" s="7">
        <f t="shared" si="18"/>
        <v>5.9249369783890941E-4</v>
      </c>
      <c r="W72" s="2"/>
      <c r="X72" s="6">
        <f t="shared" si="19"/>
        <v>-175.02439999999996</v>
      </c>
      <c r="Y72" s="2"/>
      <c r="Z72" s="7">
        <f t="shared" si="20"/>
        <v>-0.60248450625876915</v>
      </c>
    </row>
    <row r="73" spans="1:26" s="24" customFormat="1" hidden="1" outlineLevel="2" x14ac:dyDescent="0.25">
      <c r="A73" s="27"/>
      <c r="B73" s="11" t="str">
        <f>CONCATENATE("          ", "6115", " - ", "P.E.R.S.")</f>
        <v xml:space="preserve">          6115 - P.E.R.S.</v>
      </c>
      <c r="C73" s="11"/>
      <c r="D73" s="6">
        <v>1527.17</v>
      </c>
      <c r="E73" s="2"/>
      <c r="F73" s="7">
        <f t="shared" si="13"/>
        <v>5.2978720466610443E-3</v>
      </c>
      <c r="G73" s="2"/>
      <c r="H73" s="6">
        <v>1141.3523076923102</v>
      </c>
      <c r="I73" s="2"/>
      <c r="J73" s="7">
        <f t="shared" si="14"/>
        <v>3.6905317694931861E-3</v>
      </c>
      <c r="K73" s="2"/>
      <c r="L73" s="6">
        <f t="shared" si="15"/>
        <v>385.81769230768987</v>
      </c>
      <c r="M73" s="2"/>
      <c r="N73" s="7">
        <f t="shared" si="16"/>
        <v>0.33803558262196109</v>
      </c>
      <c r="O73" s="11"/>
      <c r="P73" s="6">
        <v>3496.36</v>
      </c>
      <c r="Q73" s="2"/>
      <c r="R73" s="7">
        <f t="shared" si="17"/>
        <v>8.0161945306248192E-3</v>
      </c>
      <c r="S73" s="2"/>
      <c r="T73" s="6">
        <v>2568.0426923076898</v>
      </c>
      <c r="U73" s="2"/>
      <c r="V73" s="7">
        <f t="shared" si="18"/>
        <v>5.2376112409091629E-3</v>
      </c>
      <c r="W73" s="2"/>
      <c r="X73" s="6">
        <f t="shared" si="19"/>
        <v>928.31730769231035</v>
      </c>
      <c r="Y73" s="2"/>
      <c r="Z73" s="7">
        <f t="shared" si="20"/>
        <v>0.36148826905136361</v>
      </c>
    </row>
    <row r="74" spans="1:26" s="24" customFormat="1" hidden="1" outlineLevel="2" x14ac:dyDescent="0.25">
      <c r="A74" s="27"/>
      <c r="B74" s="11" t="str">
        <f>CONCATENATE("          ", "6116", " - ", "EDUCATIONAL BENEFITS")</f>
        <v xml:space="preserve">          6116 - EDUCATIONAL BENEFITS</v>
      </c>
      <c r="C74" s="11"/>
      <c r="D74" s="6"/>
      <c r="E74" s="2"/>
      <c r="F74" s="7">
        <f t="shared" si="13"/>
        <v>0</v>
      </c>
      <c r="G74" s="2"/>
      <c r="H74" s="6">
        <v>0</v>
      </c>
      <c r="I74" s="2"/>
      <c r="J74" s="7">
        <f t="shared" si="14"/>
        <v>0</v>
      </c>
      <c r="K74" s="2"/>
      <c r="L74" s="6">
        <f t="shared" si="15"/>
        <v>0</v>
      </c>
      <c r="M74" s="2"/>
      <c r="N74" s="7">
        <f t="shared" si="16"/>
        <v>0</v>
      </c>
      <c r="O74" s="11"/>
      <c r="P74" s="6"/>
      <c r="Q74" s="2"/>
      <c r="R74" s="7">
        <f t="shared" si="17"/>
        <v>0</v>
      </c>
      <c r="S74" s="2"/>
      <c r="T74" s="6">
        <v>0</v>
      </c>
      <c r="U74" s="2"/>
      <c r="V74" s="7">
        <f t="shared" si="18"/>
        <v>0</v>
      </c>
      <c r="W74" s="2"/>
      <c r="X74" s="6">
        <f t="shared" si="19"/>
        <v>0</v>
      </c>
      <c r="Y74" s="2"/>
      <c r="Z74" s="7">
        <f t="shared" si="20"/>
        <v>0</v>
      </c>
    </row>
    <row r="75" spans="1:26" s="24" customFormat="1" hidden="1" outlineLevel="2" x14ac:dyDescent="0.25">
      <c r="A75" s="27"/>
      <c r="B75" s="11" t="str">
        <f>CONCATENATE("          ", "6118", " - ", "VACATION")</f>
        <v xml:space="preserve">          6118 - VACATION</v>
      </c>
      <c r="C75" s="11"/>
      <c r="D75" s="6">
        <v>1351.22</v>
      </c>
      <c r="E75" s="2"/>
      <c r="F75" s="7">
        <f t="shared" si="13"/>
        <v>4.6874877498178568E-3</v>
      </c>
      <c r="G75" s="2"/>
      <c r="H75" s="6">
        <v>855.57692307692298</v>
      </c>
      <c r="I75" s="2"/>
      <c r="J75" s="7">
        <f t="shared" si="14"/>
        <v>2.7664848045427805E-3</v>
      </c>
      <c r="K75" s="2"/>
      <c r="L75" s="6">
        <f t="shared" si="15"/>
        <v>495.64307692307705</v>
      </c>
      <c r="M75" s="2"/>
      <c r="N75" s="7">
        <f t="shared" si="16"/>
        <v>0.57930860867610723</v>
      </c>
      <c r="O75" s="11"/>
      <c r="P75" s="6">
        <v>2573.7399999999998</v>
      </c>
      <c r="Q75" s="2"/>
      <c r="R75" s="7">
        <f t="shared" si="17"/>
        <v>5.9008799183294398E-3</v>
      </c>
      <c r="S75" s="2"/>
      <c r="T75" s="6">
        <v>1925.0480769230728</v>
      </c>
      <c r="U75" s="2"/>
      <c r="V75" s="7">
        <f t="shared" si="18"/>
        <v>3.9262016465631249E-3</v>
      </c>
      <c r="W75" s="2"/>
      <c r="X75" s="6">
        <f t="shared" si="19"/>
        <v>648.69192307692697</v>
      </c>
      <c r="Y75" s="2"/>
      <c r="Z75" s="7">
        <f t="shared" si="20"/>
        <v>0.33697440123873307</v>
      </c>
    </row>
    <row r="76" spans="1:26" s="24" customFormat="1" hidden="1" outlineLevel="2" x14ac:dyDescent="0.25">
      <c r="A76" s="27"/>
      <c r="B76" s="11" t="str">
        <f>CONCATENATE("          ", "6119", " - ", "SICK LEAVE")</f>
        <v xml:space="preserve">          6119 - SICK LEAVE</v>
      </c>
      <c r="C76" s="11"/>
      <c r="D76" s="6">
        <v>873.12</v>
      </c>
      <c r="E76" s="2"/>
      <c r="F76" s="7">
        <f t="shared" si="13"/>
        <v>3.0289214962189483E-3</v>
      </c>
      <c r="G76" s="2"/>
      <c r="H76" s="6">
        <v>1327.85192307692</v>
      </c>
      <c r="I76" s="2"/>
      <c r="J76" s="7">
        <f t="shared" si="14"/>
        <v>4.2935732238595379E-3</v>
      </c>
      <c r="K76" s="2"/>
      <c r="L76" s="6">
        <f t="shared" si="15"/>
        <v>-454.73192307692</v>
      </c>
      <c r="M76" s="2"/>
      <c r="N76" s="7">
        <f t="shared" si="16"/>
        <v>-0.34245680197774447</v>
      </c>
      <c r="O76" s="11"/>
      <c r="P76" s="6">
        <v>1650.3</v>
      </c>
      <c r="Q76" s="2"/>
      <c r="R76" s="7">
        <f t="shared" si="17"/>
        <v>3.7836852709360988E-3</v>
      </c>
      <c r="S76" s="2"/>
      <c r="T76" s="6">
        <v>2835.5630769230702</v>
      </c>
      <c r="U76" s="2"/>
      <c r="V76" s="7">
        <f t="shared" si="18"/>
        <v>5.7832282502489661E-3</v>
      </c>
      <c r="W76" s="2"/>
      <c r="X76" s="6">
        <f t="shared" si="19"/>
        <v>-1185.2630769230702</v>
      </c>
      <c r="Y76" s="2"/>
      <c r="Z76" s="7">
        <f t="shared" si="20"/>
        <v>-0.41799919267153968</v>
      </c>
    </row>
    <row r="77" spans="1:26" s="24" customFormat="1" hidden="1" outlineLevel="2" x14ac:dyDescent="0.25">
      <c r="A77" s="27"/>
      <c r="B77" s="11" t="str">
        <f>CONCATENATE("          ", "6156", " - ", "EMPLOYEE MEALS")</f>
        <v xml:space="preserve">          6156 - EMPLOYEE MEALS</v>
      </c>
      <c r="C77" s="11"/>
      <c r="D77" s="6">
        <v>288.87</v>
      </c>
      <c r="E77" s="2"/>
      <c r="F77" s="7">
        <f t="shared" si="13"/>
        <v>1.0021125991991565E-3</v>
      </c>
      <c r="G77" s="2"/>
      <c r="H77" s="6">
        <v>700</v>
      </c>
      <c r="I77" s="2"/>
      <c r="J77" s="7">
        <f t="shared" si="14"/>
        <v>2.2634310381064783E-3</v>
      </c>
      <c r="K77" s="2"/>
      <c r="L77" s="6">
        <f t="shared" si="15"/>
        <v>-411.13</v>
      </c>
      <c r="M77" s="2"/>
      <c r="N77" s="7">
        <f t="shared" si="16"/>
        <v>-0.58732857142857142</v>
      </c>
      <c r="O77" s="11"/>
      <c r="P77" s="6">
        <v>570.70000000000005</v>
      </c>
      <c r="Q77" s="2"/>
      <c r="R77" s="7">
        <f t="shared" si="17"/>
        <v>1.3084585736673525E-3</v>
      </c>
      <c r="S77" s="2"/>
      <c r="T77" s="6">
        <v>1400</v>
      </c>
      <c r="U77" s="2"/>
      <c r="V77" s="7">
        <f t="shared" si="18"/>
        <v>2.8553480669293585E-3</v>
      </c>
      <c r="W77" s="2"/>
      <c r="X77" s="6">
        <f t="shared" si="19"/>
        <v>-829.3</v>
      </c>
      <c r="Y77" s="2"/>
      <c r="Z77" s="7">
        <f t="shared" si="20"/>
        <v>-0.5923571428571428</v>
      </c>
    </row>
    <row r="78" spans="1:26" s="29" customFormat="1" outlineLevel="1" collapsed="1" x14ac:dyDescent="0.25">
      <c r="A78" s="28"/>
      <c r="B78" s="14" t="str">
        <f>CONCATENATE("     ","*Payroll                                          ")</f>
        <v xml:space="preserve">     *Payroll                                          </v>
      </c>
      <c r="C78" s="14"/>
      <c r="D78" s="1">
        <f>SUM(OSRRefD22_1x_0)</f>
        <v>36584.700000000004</v>
      </c>
      <c r="E78" s="1"/>
      <c r="F78" s="5">
        <f t="shared" ref="F78:F88" si="21">IF(D$12=0,0,D78/D$12)</f>
        <v>0.12691518263551557</v>
      </c>
      <c r="G78" s="1"/>
      <c r="H78" s="1">
        <f>SUM(OSRRefH22_1x_0)</f>
        <v>54608.884615384595</v>
      </c>
      <c r="I78" s="1"/>
      <c r="J78" s="5">
        <f t="shared" ref="J78:J88" si="22">IF(H$12=0,0,H78/H$12)</f>
        <v>0.1765763491354812</v>
      </c>
      <c r="K78" s="1"/>
      <c r="L78" s="1">
        <f t="shared" ref="L78:L88" si="23">+D78-H78</f>
        <v>-18024.184615384591</v>
      </c>
      <c r="M78" s="1"/>
      <c r="N78" s="5">
        <f t="shared" ref="N78:N88" si="24">IF(H78=0,0,L78/H78)</f>
        <v>-0.33005956342691456</v>
      </c>
      <c r="O78" s="14"/>
      <c r="P78" s="1">
        <f>SUM(OSRRefP22_1x_0)</f>
        <v>57859.549999999996</v>
      </c>
      <c r="Q78" s="1"/>
      <c r="R78" s="5">
        <f t="shared" ref="R78:R88" si="25">IF(P$12=0,0,P78/P$12)</f>
        <v>0.13265607896624296</v>
      </c>
      <c r="S78" s="1"/>
      <c r="T78" s="1">
        <f>SUM(OSRRefT22_1x_0)</f>
        <v>107659.6153846154</v>
      </c>
      <c r="U78" s="1"/>
      <c r="V78" s="5">
        <f t="shared" ref="V78:V88" si="26">IF(T$12=0,0,T78/T$12)</f>
        <v>0.2195754819105856</v>
      </c>
      <c r="W78" s="1"/>
      <c r="X78" s="1">
        <f t="shared" ref="X78:X88" si="27">+P78-T78</f>
        <v>-49800.065384615409</v>
      </c>
      <c r="Y78" s="1"/>
      <c r="Z78" s="5">
        <f t="shared" ref="Z78:Z88" si="28">IF(T78=0,0,X78/T78)</f>
        <v>-0.4625696014861656</v>
      </c>
    </row>
    <row r="79" spans="1:26" s="24" customFormat="1" hidden="1" outlineLevel="2" x14ac:dyDescent="0.25">
      <c r="A79" s="27"/>
      <c r="B79" s="11" t="str">
        <f>CONCATENATE("          ", "6001", " - ", "ADMINISTRATIVE SALARIES")</f>
        <v xml:space="preserve">          6001 - ADMINISTRATIVE SALARIES</v>
      </c>
      <c r="C79" s="11"/>
      <c r="D79" s="6"/>
      <c r="E79" s="2"/>
      <c r="F79" s="7">
        <f t="shared" si="21"/>
        <v>0</v>
      </c>
      <c r="G79" s="2"/>
      <c r="H79" s="6">
        <v>0</v>
      </c>
      <c r="I79" s="2"/>
      <c r="J79" s="7">
        <f t="shared" si="22"/>
        <v>0</v>
      </c>
      <c r="K79" s="2"/>
      <c r="L79" s="6">
        <f t="shared" si="23"/>
        <v>0</v>
      </c>
      <c r="M79" s="2"/>
      <c r="N79" s="7">
        <f t="shared" si="24"/>
        <v>0</v>
      </c>
      <c r="O79" s="11"/>
      <c r="P79" s="6"/>
      <c r="Q79" s="2"/>
      <c r="R79" s="7">
        <f t="shared" si="25"/>
        <v>0</v>
      </c>
      <c r="S79" s="2"/>
      <c r="T79" s="6">
        <v>0</v>
      </c>
      <c r="U79" s="2"/>
      <c r="V79" s="7">
        <f t="shared" si="26"/>
        <v>0</v>
      </c>
      <c r="W79" s="2"/>
      <c r="X79" s="6">
        <f t="shared" si="27"/>
        <v>0</v>
      </c>
      <c r="Y79" s="2"/>
      <c r="Z79" s="7">
        <f t="shared" si="28"/>
        <v>0</v>
      </c>
    </row>
    <row r="80" spans="1:26" s="24" customFormat="1" hidden="1" outlineLevel="2" x14ac:dyDescent="0.25">
      <c r="A80" s="27"/>
      <c r="B80" s="11" t="str">
        <f>CONCATENATE("          ", "6002", " - ", "STAFF SALARIES")</f>
        <v xml:space="preserve">          6002 - STAFF SALARIES</v>
      </c>
      <c r="C80" s="11"/>
      <c r="D80" s="6">
        <v>13398.32</v>
      </c>
      <c r="E80" s="2"/>
      <c r="F80" s="7">
        <f t="shared" si="21"/>
        <v>4.6479818880818508E-2</v>
      </c>
      <c r="G80" s="2"/>
      <c r="H80" s="6">
        <v>11944.384615384599</v>
      </c>
      <c r="I80" s="2"/>
      <c r="J80" s="7">
        <f t="shared" si="22"/>
        <v>3.8621844099347158E-2</v>
      </c>
      <c r="K80" s="2"/>
      <c r="L80" s="6">
        <f t="shared" si="23"/>
        <v>1453.9353846154008</v>
      </c>
      <c r="M80" s="2"/>
      <c r="N80" s="7">
        <f t="shared" si="24"/>
        <v>0.12172543261397527</v>
      </c>
      <c r="O80" s="11"/>
      <c r="P80" s="6">
        <v>29633.100000000002</v>
      </c>
      <c r="Q80" s="2"/>
      <c r="R80" s="7">
        <f t="shared" si="25"/>
        <v>6.7940570806626993E-2</v>
      </c>
      <c r="S80" s="2"/>
      <c r="T80" s="6">
        <v>26874.865384615397</v>
      </c>
      <c r="U80" s="2"/>
      <c r="V80" s="7">
        <f t="shared" si="26"/>
        <v>5.4812210660677367E-2</v>
      </c>
      <c r="W80" s="2"/>
      <c r="X80" s="6">
        <f t="shared" si="27"/>
        <v>2758.2346153846047</v>
      </c>
      <c r="Y80" s="2"/>
      <c r="Z80" s="7">
        <f t="shared" si="28"/>
        <v>0.10263249976922917</v>
      </c>
    </row>
    <row r="81" spans="1:26" s="24" customFormat="1" hidden="1" outlineLevel="2" x14ac:dyDescent="0.25">
      <c r="A81" s="27"/>
      <c r="B81" s="11" t="str">
        <f>CONCATENATE("          ", "6003", " - ", "STAFF HOURLY-9 MONTH")</f>
        <v xml:space="preserve">          6003 - STAFF HOURLY-9 MONTH</v>
      </c>
      <c r="C81" s="11"/>
      <c r="D81" s="6"/>
      <c r="E81" s="2"/>
      <c r="F81" s="7">
        <f t="shared" si="21"/>
        <v>0</v>
      </c>
      <c r="G81" s="2"/>
      <c r="H81" s="6">
        <v>0</v>
      </c>
      <c r="I81" s="2"/>
      <c r="J81" s="7">
        <f t="shared" si="22"/>
        <v>0</v>
      </c>
      <c r="K81" s="2"/>
      <c r="L81" s="6">
        <f t="shared" si="23"/>
        <v>0</v>
      </c>
      <c r="M81" s="2"/>
      <c r="N81" s="7">
        <f t="shared" si="24"/>
        <v>0</v>
      </c>
      <c r="O81" s="11"/>
      <c r="P81" s="6"/>
      <c r="Q81" s="2"/>
      <c r="R81" s="7">
        <f t="shared" si="25"/>
        <v>0</v>
      </c>
      <c r="S81" s="2"/>
      <c r="T81" s="6">
        <v>0</v>
      </c>
      <c r="U81" s="2"/>
      <c r="V81" s="7">
        <f t="shared" si="26"/>
        <v>0</v>
      </c>
      <c r="W81" s="2"/>
      <c r="X81" s="6">
        <f t="shared" si="27"/>
        <v>0</v>
      </c>
      <c r="Y81" s="2"/>
      <c r="Z81" s="7">
        <f t="shared" si="28"/>
        <v>0</v>
      </c>
    </row>
    <row r="82" spans="1:26" s="24" customFormat="1" hidden="1" outlineLevel="2" x14ac:dyDescent="0.25">
      <c r="A82" s="27"/>
      <c r="B82" s="11" t="str">
        <f>CONCATENATE("          ", "6004", " - ", "STAFF HOURLY")</f>
        <v xml:space="preserve">          6004 - STAFF HOURLY</v>
      </c>
      <c r="C82" s="11"/>
      <c r="D82" s="6">
        <v>10122.790000000001</v>
      </c>
      <c r="E82" s="2"/>
      <c r="F82" s="7">
        <f t="shared" si="21"/>
        <v>3.5116749396085542E-2</v>
      </c>
      <c r="G82" s="2"/>
      <c r="H82" s="6">
        <v>5337</v>
      </c>
      <c r="I82" s="2"/>
      <c r="J82" s="7">
        <f t="shared" si="22"/>
        <v>1.7257044929106107E-2</v>
      </c>
      <c r="K82" s="2"/>
      <c r="L82" s="6">
        <f t="shared" si="23"/>
        <v>4785.7900000000009</v>
      </c>
      <c r="M82" s="2"/>
      <c r="N82" s="7">
        <f t="shared" si="24"/>
        <v>0.89671913059771424</v>
      </c>
      <c r="O82" s="11"/>
      <c r="P82" s="6">
        <v>14112.04</v>
      </c>
      <c r="Q82" s="2"/>
      <c r="R82" s="7">
        <f t="shared" si="25"/>
        <v>3.2355037199818866E-2</v>
      </c>
      <c r="S82" s="2"/>
      <c r="T82" s="6">
        <v>12008.25</v>
      </c>
      <c r="U82" s="2"/>
      <c r="V82" s="7">
        <f t="shared" si="26"/>
        <v>2.4491238160503193E-2</v>
      </c>
      <c r="W82" s="2"/>
      <c r="X82" s="6">
        <f t="shared" si="27"/>
        <v>2103.7900000000009</v>
      </c>
      <c r="Y82" s="2"/>
      <c r="Z82" s="7">
        <f t="shared" si="28"/>
        <v>0.17519538650511116</v>
      </c>
    </row>
    <row r="83" spans="1:26" s="24" customFormat="1" hidden="1" outlineLevel="2" x14ac:dyDescent="0.25">
      <c r="A83" s="27"/>
      <c r="B83" s="11" t="str">
        <f>CONCATENATE("          ", "6005", " - ", "TEMPORARY WAGES-HOURLY")</f>
        <v xml:space="preserve">          6005 - TEMPORARY WAGES-HOURLY</v>
      </c>
      <c r="C83" s="11"/>
      <c r="D83" s="6">
        <v>3399.25</v>
      </c>
      <c r="E83" s="2"/>
      <c r="F83" s="7">
        <f t="shared" si="21"/>
        <v>1.179226383088494E-2</v>
      </c>
      <c r="G83" s="2"/>
      <c r="H83" s="6">
        <v>0</v>
      </c>
      <c r="I83" s="2"/>
      <c r="J83" s="7">
        <f t="shared" si="22"/>
        <v>0</v>
      </c>
      <c r="K83" s="2"/>
      <c r="L83" s="6">
        <f t="shared" si="23"/>
        <v>3399.25</v>
      </c>
      <c r="M83" s="2"/>
      <c r="N83" s="7">
        <f t="shared" si="24"/>
        <v>0</v>
      </c>
      <c r="O83" s="11"/>
      <c r="P83" s="6">
        <v>4126.07</v>
      </c>
      <c r="Q83" s="2"/>
      <c r="R83" s="7">
        <f t="shared" si="25"/>
        <v>9.4599468495735976E-3</v>
      </c>
      <c r="S83" s="2"/>
      <c r="T83" s="6">
        <v>0</v>
      </c>
      <c r="U83" s="2"/>
      <c r="V83" s="7">
        <f t="shared" si="26"/>
        <v>0</v>
      </c>
      <c r="W83" s="2"/>
      <c r="X83" s="6">
        <f t="shared" si="27"/>
        <v>4126.07</v>
      </c>
      <c r="Y83" s="2"/>
      <c r="Z83" s="7">
        <f t="shared" si="28"/>
        <v>0</v>
      </c>
    </row>
    <row r="84" spans="1:26" s="24" customFormat="1" hidden="1" outlineLevel="2" x14ac:dyDescent="0.25">
      <c r="A84" s="27"/>
      <c r="B84" s="11" t="str">
        <f>CONCATENATE("          ", "6006", " - ", "TEMPORARY PART TIME")</f>
        <v xml:space="preserve">          6006 - TEMPORARY PART TIME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7"/>
      <c r="B85" s="11" t="str">
        <f>CONCATENATE("          ", "6007", " - ", "STUDENT HOURLY")</f>
        <v xml:space="preserve">          6007 - STUDENT HOURLY</v>
      </c>
      <c r="C85" s="11"/>
      <c r="D85" s="6">
        <v>9325.2999999999993</v>
      </c>
      <c r="E85" s="2"/>
      <c r="F85" s="7">
        <f t="shared" si="21"/>
        <v>3.2350194278782475E-2</v>
      </c>
      <c r="G85" s="2"/>
      <c r="H85" s="6">
        <v>37327.5</v>
      </c>
      <c r="I85" s="2"/>
      <c r="J85" s="7">
        <f t="shared" si="22"/>
        <v>0.12069746010702795</v>
      </c>
      <c r="K85" s="2"/>
      <c r="L85" s="6">
        <f t="shared" si="23"/>
        <v>-28002.2</v>
      </c>
      <c r="M85" s="2"/>
      <c r="N85" s="7">
        <f t="shared" si="24"/>
        <v>-0.75017614359386509</v>
      </c>
      <c r="O85" s="11"/>
      <c r="P85" s="6">
        <v>9649.2999999999993</v>
      </c>
      <c r="Q85" s="2"/>
      <c r="R85" s="7">
        <f t="shared" si="25"/>
        <v>2.2123198378987879E-2</v>
      </c>
      <c r="S85" s="2"/>
      <c r="T85" s="6">
        <v>68776.5</v>
      </c>
      <c r="U85" s="2"/>
      <c r="V85" s="7">
        <f t="shared" si="26"/>
        <v>0.14027203308940503</v>
      </c>
      <c r="W85" s="2"/>
      <c r="X85" s="6">
        <f t="shared" si="27"/>
        <v>-59127.199999999997</v>
      </c>
      <c r="Y85" s="2"/>
      <c r="Z85" s="7">
        <f t="shared" si="28"/>
        <v>-0.85970062448656148</v>
      </c>
    </row>
    <row r="86" spans="1:26" s="24" customFormat="1" hidden="1" outlineLevel="2" x14ac:dyDescent="0.25">
      <c r="A86" s="27"/>
      <c r="B86" s="11" t="str">
        <f>CONCATENATE("          ", "6008", " - ", "STUDENT HOURLY-FICA EXEMPT")</f>
        <v xml:space="preserve">          6008 - STUDENT HOURLY-FICA EXEMPT</v>
      </c>
      <c r="C86" s="11"/>
      <c r="D86" s="6">
        <v>339.04</v>
      </c>
      <c r="E86" s="2"/>
      <c r="F86" s="7">
        <f t="shared" si="21"/>
        <v>1.1761562489440995E-3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339.04</v>
      </c>
      <c r="M86" s="2"/>
      <c r="N86" s="7">
        <f t="shared" si="24"/>
        <v>0</v>
      </c>
      <c r="O86" s="11"/>
      <c r="P86" s="6">
        <v>339.04</v>
      </c>
      <c r="Q86" s="2"/>
      <c r="R86" s="7">
        <f t="shared" si="25"/>
        <v>7.7732573123563903E-4</v>
      </c>
      <c r="S86" s="2"/>
      <c r="T86" s="6">
        <v>0</v>
      </c>
      <c r="U86" s="2"/>
      <c r="V86" s="7">
        <f t="shared" si="26"/>
        <v>0</v>
      </c>
      <c r="W86" s="2"/>
      <c r="X86" s="6">
        <f t="shared" si="27"/>
        <v>339.04</v>
      </c>
      <c r="Y86" s="2"/>
      <c r="Z86" s="7">
        <f t="shared" si="28"/>
        <v>0</v>
      </c>
    </row>
    <row r="87" spans="1:26" s="24" customFormat="1" hidden="1" outlineLevel="2" x14ac:dyDescent="0.25">
      <c r="A87" s="27"/>
      <c r="B87" s="11" t="str">
        <f>CONCATENATE("          ", "6009", " - ", "TEMPORARY-SEASONAL")</f>
        <v xml:space="preserve">          6009 - TEMPORARY-SEASONAL</v>
      </c>
      <c r="C87" s="11"/>
      <c r="D87" s="6"/>
      <c r="E87" s="2"/>
      <c r="F87" s="7">
        <f t="shared" si="21"/>
        <v>0</v>
      </c>
      <c r="G87" s="2"/>
      <c r="H87" s="6">
        <v>0</v>
      </c>
      <c r="I87" s="2"/>
      <c r="J87" s="7">
        <f t="shared" si="22"/>
        <v>0</v>
      </c>
      <c r="K87" s="2"/>
      <c r="L87" s="6">
        <f t="shared" si="23"/>
        <v>0</v>
      </c>
      <c r="M87" s="2"/>
      <c r="N87" s="7">
        <f t="shared" si="24"/>
        <v>0</v>
      </c>
      <c r="O87" s="11"/>
      <c r="P87" s="6"/>
      <c r="Q87" s="2"/>
      <c r="R87" s="7">
        <f t="shared" si="25"/>
        <v>0</v>
      </c>
      <c r="S87" s="2"/>
      <c r="T87" s="6">
        <v>0</v>
      </c>
      <c r="U87" s="2"/>
      <c r="V87" s="7">
        <f t="shared" si="26"/>
        <v>0</v>
      </c>
      <c r="W87" s="2"/>
      <c r="X87" s="6">
        <f t="shared" si="27"/>
        <v>0</v>
      </c>
      <c r="Y87" s="2"/>
      <c r="Z87" s="7">
        <f t="shared" si="28"/>
        <v>0</v>
      </c>
    </row>
    <row r="88" spans="1:26" s="24" customFormat="1" hidden="1" outlineLevel="2" x14ac:dyDescent="0.25">
      <c r="A88" s="27"/>
      <c r="B88" s="11" t="str">
        <f>CONCATENATE("          ", "6010", " - ", "GRATUITY")</f>
        <v xml:space="preserve">          6010 - GRATUITY</v>
      </c>
      <c r="C88" s="11"/>
      <c r="D88" s="6"/>
      <c r="E88" s="2"/>
      <c r="F88" s="7">
        <f t="shared" si="21"/>
        <v>0</v>
      </c>
      <c r="G88" s="2"/>
      <c r="H88" s="6">
        <v>0</v>
      </c>
      <c r="I88" s="2"/>
      <c r="J88" s="7">
        <f t="shared" si="22"/>
        <v>0</v>
      </c>
      <c r="K88" s="2"/>
      <c r="L88" s="6">
        <f t="shared" si="23"/>
        <v>0</v>
      </c>
      <c r="M88" s="2"/>
      <c r="N88" s="7">
        <f t="shared" si="24"/>
        <v>0</v>
      </c>
      <c r="O88" s="11"/>
      <c r="P88" s="6"/>
      <c r="Q88" s="2"/>
      <c r="R88" s="7">
        <f t="shared" si="25"/>
        <v>0</v>
      </c>
      <c r="S88" s="2"/>
      <c r="T88" s="6">
        <v>0</v>
      </c>
      <c r="U88" s="2"/>
      <c r="V88" s="7">
        <f t="shared" si="26"/>
        <v>0</v>
      </c>
      <c r="W88" s="2"/>
      <c r="X88" s="6">
        <f t="shared" si="27"/>
        <v>0</v>
      </c>
      <c r="Y88" s="2"/>
      <c r="Z88" s="7">
        <f t="shared" si="28"/>
        <v>0</v>
      </c>
    </row>
    <row r="89" spans="1:26" s="29" customFormat="1" outlineLevel="1" collapsed="1" x14ac:dyDescent="0.25">
      <c r="A89" s="28"/>
      <c r="B89" s="14" t="str">
        <f>CONCATENATE("     ","Advertising/Promo                                 ")</f>
        <v xml:space="preserve">     Advertising/Promo                                 </v>
      </c>
      <c r="C89" s="14"/>
      <c r="D89" s="1">
        <f>SUM(OSRRefD22_2x_0)</f>
        <v>9301.39</v>
      </c>
      <c r="E89" s="1"/>
      <c r="F89" s="5">
        <f t="shared" ref="F89:F101" si="29">IF(D$12=0,0,D89/D$12)</f>
        <v>3.2267248620711883E-2</v>
      </c>
      <c r="G89" s="1"/>
      <c r="H89" s="1">
        <f>SUM(OSRRefH22_2x_0)</f>
        <v>580</v>
      </c>
      <c r="I89" s="1"/>
      <c r="J89" s="5">
        <f t="shared" ref="J89:J101" si="30">IF(H$12=0,0,H89/H$12)</f>
        <v>1.8754142887167963E-3</v>
      </c>
      <c r="K89" s="1"/>
      <c r="L89" s="1">
        <f t="shared" ref="L89:L101" si="31">+D89-H89</f>
        <v>8721.39</v>
      </c>
      <c r="M89" s="1"/>
      <c r="N89" s="5">
        <f t="shared" ref="N89:N101" si="32">IF(H89=0,0,L89/H89)</f>
        <v>15.036879310344826</v>
      </c>
      <c r="O89" s="14"/>
      <c r="P89" s="1">
        <f>SUM(OSRRefP22_2x_0)</f>
        <v>10642.32</v>
      </c>
      <c r="Q89" s="1"/>
      <c r="R89" s="5">
        <f t="shared" ref="R89:R101" si="33">IF(P$12=0,0,P89/P$12)</f>
        <v>2.4399920882620531E-2</v>
      </c>
      <c r="S89" s="1"/>
      <c r="T89" s="1">
        <f>SUM(OSRRefT22_2x_0)</f>
        <v>1160</v>
      </c>
      <c r="U89" s="1"/>
      <c r="V89" s="5">
        <f t="shared" ref="V89:V101" si="34">IF(T$12=0,0,T89/T$12)</f>
        <v>2.3658598268843259E-3</v>
      </c>
      <c r="W89" s="1"/>
      <c r="X89" s="1">
        <f t="shared" ref="X89:X101" si="35">+P89-T89</f>
        <v>9482.32</v>
      </c>
      <c r="Y89" s="1"/>
      <c r="Z89" s="5">
        <f t="shared" ref="Z89:Z101" si="36">IF(T89=0,0,X89/T89)</f>
        <v>8.1744137931034473</v>
      </c>
    </row>
    <row r="90" spans="1:26" s="24" customFormat="1" hidden="1" outlineLevel="2" x14ac:dyDescent="0.25">
      <c r="A90" s="27"/>
      <c r="B90" s="11" t="str">
        <f>CONCATENATE("          ", "6362", " - ", "ADVERTISING EXPENSE")</f>
        <v xml:space="preserve">          6362 - ADVERTISING EXPENSE</v>
      </c>
      <c r="C90" s="11"/>
      <c r="D90" s="6">
        <v>9301.39</v>
      </c>
      <c r="E90" s="2"/>
      <c r="F90" s="7">
        <f t="shared" si="29"/>
        <v>3.2267248620711883E-2</v>
      </c>
      <c r="G90" s="2"/>
      <c r="H90" s="6">
        <v>580</v>
      </c>
      <c r="I90" s="2"/>
      <c r="J90" s="7">
        <f t="shared" si="30"/>
        <v>1.8754142887167963E-3</v>
      </c>
      <c r="K90" s="2"/>
      <c r="L90" s="6">
        <f t="shared" si="31"/>
        <v>8721.39</v>
      </c>
      <c r="M90" s="2"/>
      <c r="N90" s="7">
        <f t="shared" si="32"/>
        <v>15.036879310344826</v>
      </c>
      <c r="O90" s="11"/>
      <c r="P90" s="6">
        <v>10642.32</v>
      </c>
      <c r="Q90" s="2"/>
      <c r="R90" s="7">
        <f t="shared" si="33"/>
        <v>2.4399920882620531E-2</v>
      </c>
      <c r="S90" s="2"/>
      <c r="T90" s="6">
        <v>1160</v>
      </c>
      <c r="U90" s="2"/>
      <c r="V90" s="7">
        <f t="shared" si="34"/>
        <v>2.3658598268843259E-3</v>
      </c>
      <c r="W90" s="2"/>
      <c r="X90" s="6">
        <f t="shared" si="35"/>
        <v>9482.32</v>
      </c>
      <c r="Y90" s="2"/>
      <c r="Z90" s="7">
        <f t="shared" si="36"/>
        <v>8.1744137931034473</v>
      </c>
    </row>
    <row r="91" spans="1:26" s="29" customFormat="1" outlineLevel="1" collapsed="1" x14ac:dyDescent="0.25">
      <c r="A91" s="28"/>
      <c r="B91" s="14" t="str">
        <f>CONCATENATE("     ","Bad Debts/Over/Short                              ")</f>
        <v xml:space="preserve">     Bad Debts/Over/Short                              </v>
      </c>
      <c r="C91" s="14"/>
      <c r="D91" s="1">
        <f>SUM(OSRRefD22_3x_0)</f>
        <v>0</v>
      </c>
      <c r="E91" s="1"/>
      <c r="F91" s="5">
        <f t="shared" si="29"/>
        <v>0</v>
      </c>
      <c r="G91" s="1"/>
      <c r="H91" s="1">
        <f>SUM(OSRRefH22_3x_0)</f>
        <v>0</v>
      </c>
      <c r="I91" s="1"/>
      <c r="J91" s="5">
        <f t="shared" si="30"/>
        <v>0</v>
      </c>
      <c r="K91" s="1"/>
      <c r="L91" s="1">
        <f t="shared" si="31"/>
        <v>0</v>
      </c>
      <c r="M91" s="1"/>
      <c r="N91" s="5">
        <f t="shared" si="32"/>
        <v>0</v>
      </c>
      <c r="O91" s="14"/>
      <c r="P91" s="1">
        <f>SUM(OSRRefP22_3x_0)</f>
        <v>0</v>
      </c>
      <c r="Q91" s="1"/>
      <c r="R91" s="5">
        <f t="shared" si="33"/>
        <v>0</v>
      </c>
      <c r="S91" s="1"/>
      <c r="T91" s="1">
        <f>SUM(OSRRefT22_3x_0)</f>
        <v>0</v>
      </c>
      <c r="U91" s="1"/>
      <c r="V91" s="5">
        <f t="shared" si="34"/>
        <v>0</v>
      </c>
      <c r="W91" s="1"/>
      <c r="X91" s="1">
        <f t="shared" si="35"/>
        <v>0</v>
      </c>
      <c r="Y91" s="1"/>
      <c r="Z91" s="5">
        <f t="shared" si="36"/>
        <v>0</v>
      </c>
    </row>
    <row r="92" spans="1:26" s="24" customFormat="1" hidden="1" outlineLevel="2" x14ac:dyDescent="0.25">
      <c r="A92" s="27"/>
      <c r="B92" s="11" t="str">
        <f>CONCATENATE("          ", "6272", " - ", "CASH (OVER/SHORT)")</f>
        <v xml:space="preserve">          6272 - CASH (OVER/SHORT)</v>
      </c>
      <c r="C92" s="11"/>
      <c r="D92" s="6"/>
      <c r="E92" s="2"/>
      <c r="F92" s="7">
        <f t="shared" si="29"/>
        <v>0</v>
      </c>
      <c r="G92" s="2"/>
      <c r="H92" s="6">
        <v>0</v>
      </c>
      <c r="I92" s="2"/>
      <c r="J92" s="7">
        <f t="shared" si="30"/>
        <v>0</v>
      </c>
      <c r="K92" s="2"/>
      <c r="L92" s="6">
        <f t="shared" si="31"/>
        <v>0</v>
      </c>
      <c r="M92" s="2"/>
      <c r="N92" s="7">
        <f t="shared" si="32"/>
        <v>0</v>
      </c>
      <c r="O92" s="11"/>
      <c r="P92" s="6"/>
      <c r="Q92" s="2"/>
      <c r="R92" s="7">
        <f t="shared" si="33"/>
        <v>0</v>
      </c>
      <c r="S92" s="2"/>
      <c r="T92" s="6">
        <v>0</v>
      </c>
      <c r="U92" s="2"/>
      <c r="V92" s="7">
        <f t="shared" si="34"/>
        <v>0</v>
      </c>
      <c r="W92" s="2"/>
      <c r="X92" s="6">
        <f t="shared" si="35"/>
        <v>0</v>
      </c>
      <c r="Y92" s="2"/>
      <c r="Z92" s="7">
        <f t="shared" si="36"/>
        <v>0</v>
      </c>
    </row>
    <row r="93" spans="1:26" s="29" customFormat="1" outlineLevel="1" collapsed="1" x14ac:dyDescent="0.25">
      <c r="A93" s="28"/>
      <c r="B93" s="14" t="str">
        <f>CONCATENATE("     ","Bank/card Fees                                    ")</f>
        <v xml:space="preserve">     Bank/card Fees                                    </v>
      </c>
      <c r="C93" s="14"/>
      <c r="D93" s="1">
        <f>SUM(OSRRefD22_4x_0)</f>
        <v>0</v>
      </c>
      <c r="E93" s="1"/>
      <c r="F93" s="5">
        <f t="shared" si="29"/>
        <v>0</v>
      </c>
      <c r="G93" s="1"/>
      <c r="H93" s="1">
        <f>SUM(OSRRefH22_4x_0)</f>
        <v>0</v>
      </c>
      <c r="I93" s="1"/>
      <c r="J93" s="5">
        <f t="shared" si="30"/>
        <v>0</v>
      </c>
      <c r="K93" s="1"/>
      <c r="L93" s="1">
        <f t="shared" si="31"/>
        <v>0</v>
      </c>
      <c r="M93" s="1"/>
      <c r="N93" s="5">
        <f t="shared" si="32"/>
        <v>0</v>
      </c>
      <c r="O93" s="14"/>
      <c r="P93" s="1">
        <f>SUM(OSRRefP22_4x_0)</f>
        <v>0</v>
      </c>
      <c r="Q93" s="1"/>
      <c r="R93" s="5">
        <f t="shared" si="33"/>
        <v>0</v>
      </c>
      <c r="S93" s="1"/>
      <c r="T93" s="1">
        <f>SUM(OSRRefT22_4x_0)</f>
        <v>0</v>
      </c>
      <c r="U93" s="1"/>
      <c r="V93" s="5">
        <f t="shared" si="34"/>
        <v>0</v>
      </c>
      <c r="W93" s="1"/>
      <c r="X93" s="1">
        <f t="shared" si="35"/>
        <v>0</v>
      </c>
      <c r="Y93" s="1"/>
      <c r="Z93" s="5">
        <f t="shared" si="36"/>
        <v>0</v>
      </c>
    </row>
    <row r="94" spans="1:26" s="24" customFormat="1" hidden="1" outlineLevel="2" x14ac:dyDescent="0.25">
      <c r="A94" s="27"/>
      <c r="B94" s="11" t="str">
        <f>CONCATENATE("          ", "6381", " - ", "BANK/CREDIT CARD FEES")</f>
        <v xml:space="preserve">          6381 - BANK/CREDIT CARD FEES</v>
      </c>
      <c r="C94" s="11"/>
      <c r="D94" s="6"/>
      <c r="E94" s="2"/>
      <c r="F94" s="7">
        <f t="shared" si="29"/>
        <v>0</v>
      </c>
      <c r="G94" s="2"/>
      <c r="H94" s="6">
        <v>0</v>
      </c>
      <c r="I94" s="2"/>
      <c r="J94" s="7">
        <f t="shared" si="30"/>
        <v>0</v>
      </c>
      <c r="K94" s="2"/>
      <c r="L94" s="6">
        <f t="shared" si="31"/>
        <v>0</v>
      </c>
      <c r="M94" s="2"/>
      <c r="N94" s="7">
        <f t="shared" si="32"/>
        <v>0</v>
      </c>
      <c r="O94" s="11"/>
      <c r="P94" s="6"/>
      <c r="Q94" s="2"/>
      <c r="R94" s="7">
        <f t="shared" si="33"/>
        <v>0</v>
      </c>
      <c r="S94" s="2"/>
      <c r="T94" s="6">
        <v>0</v>
      </c>
      <c r="U94" s="2"/>
      <c r="V94" s="7">
        <f t="shared" si="34"/>
        <v>0</v>
      </c>
      <c r="W94" s="2"/>
      <c r="X94" s="6">
        <f t="shared" si="35"/>
        <v>0</v>
      </c>
      <c r="Y94" s="2"/>
      <c r="Z94" s="7">
        <f t="shared" si="36"/>
        <v>0</v>
      </c>
    </row>
    <row r="95" spans="1:26" s="29" customFormat="1" outlineLevel="1" collapsed="1" x14ac:dyDescent="0.25">
      <c r="A95" s="28"/>
      <c r="B95" s="14" t="str">
        <f>CONCATENATE("     ","Discounts and Markdowns                           ")</f>
        <v xml:space="preserve">     Discounts and Markdowns                           </v>
      </c>
      <c r="C95" s="14"/>
      <c r="D95" s="1">
        <f>SUM(OSRRefD22_5x_0)</f>
        <v>0</v>
      </c>
      <c r="E95" s="1"/>
      <c r="F95" s="5">
        <f t="shared" si="29"/>
        <v>0</v>
      </c>
      <c r="G95" s="1"/>
      <c r="H95" s="1">
        <f>SUM(OSRRefH22_5x_0)</f>
        <v>23195</v>
      </c>
      <c r="I95" s="1"/>
      <c r="J95" s="5">
        <f t="shared" si="30"/>
        <v>7.5000404184113953E-2</v>
      </c>
      <c r="K95" s="1"/>
      <c r="L95" s="1">
        <f t="shared" si="31"/>
        <v>-23195</v>
      </c>
      <c r="M95" s="1"/>
      <c r="N95" s="5">
        <f t="shared" si="32"/>
        <v>-1</v>
      </c>
      <c r="O95" s="14"/>
      <c r="P95" s="1">
        <f>SUM(OSRRefP22_5x_0)</f>
        <v>0</v>
      </c>
      <c r="Q95" s="1"/>
      <c r="R95" s="5">
        <f t="shared" si="33"/>
        <v>0</v>
      </c>
      <c r="S95" s="1"/>
      <c r="T95" s="1">
        <f>SUM(OSRRefT22_5x_0)</f>
        <v>36773</v>
      </c>
      <c r="U95" s="1"/>
      <c r="V95" s="5">
        <f t="shared" si="34"/>
        <v>7.4999796046566647E-2</v>
      </c>
      <c r="W95" s="1"/>
      <c r="X95" s="1">
        <f t="shared" si="35"/>
        <v>-36773</v>
      </c>
      <c r="Y95" s="1"/>
      <c r="Z95" s="5">
        <f t="shared" si="36"/>
        <v>-1</v>
      </c>
    </row>
    <row r="96" spans="1:26" s="24" customFormat="1" hidden="1" outlineLevel="2" x14ac:dyDescent="0.25">
      <c r="A96" s="27"/>
      <c r="B96" s="11" t="str">
        <f>CONCATENATE("          ", "6382", " - ", "DISCOUNTS/MARK DOWNS")</f>
        <v xml:space="preserve">          6382 - DISCOUNTS/MARK DOWNS</v>
      </c>
      <c r="C96" s="11"/>
      <c r="D96" s="6"/>
      <c r="E96" s="2"/>
      <c r="F96" s="7">
        <f t="shared" si="29"/>
        <v>0</v>
      </c>
      <c r="G96" s="2"/>
      <c r="H96" s="6">
        <v>23195</v>
      </c>
      <c r="I96" s="2"/>
      <c r="J96" s="7">
        <f t="shared" si="30"/>
        <v>7.5000404184113953E-2</v>
      </c>
      <c r="K96" s="2"/>
      <c r="L96" s="6">
        <f t="shared" si="31"/>
        <v>-23195</v>
      </c>
      <c r="M96" s="2"/>
      <c r="N96" s="7">
        <f t="shared" si="32"/>
        <v>-1</v>
      </c>
      <c r="O96" s="11"/>
      <c r="P96" s="6"/>
      <c r="Q96" s="2"/>
      <c r="R96" s="7">
        <f t="shared" si="33"/>
        <v>0</v>
      </c>
      <c r="S96" s="2"/>
      <c r="T96" s="6">
        <v>36773</v>
      </c>
      <c r="U96" s="2"/>
      <c r="V96" s="7">
        <f t="shared" si="34"/>
        <v>7.4999796046566647E-2</v>
      </c>
      <c r="W96" s="2"/>
      <c r="X96" s="6">
        <f t="shared" si="35"/>
        <v>-36773</v>
      </c>
      <c r="Y96" s="2"/>
      <c r="Z96" s="7">
        <f t="shared" si="36"/>
        <v>-1</v>
      </c>
    </row>
    <row r="97" spans="1:26" s="29" customFormat="1" outlineLevel="1" collapsed="1" x14ac:dyDescent="0.25">
      <c r="A97" s="28"/>
      <c r="B97" s="14" t="str">
        <f>CONCATENATE("     ","Employees' Appreciation                           ")</f>
        <v xml:space="preserve">     Employees' Appreciation                           </v>
      </c>
      <c r="C97" s="14"/>
      <c r="D97" s="1">
        <f>SUM(OSRRefD22_6x_0)</f>
        <v>0</v>
      </c>
      <c r="E97" s="1"/>
      <c r="F97" s="5">
        <f t="shared" si="29"/>
        <v>0</v>
      </c>
      <c r="G97" s="1"/>
      <c r="H97" s="1">
        <f>SUM(OSRRefH22_6x_0)</f>
        <v>150</v>
      </c>
      <c r="I97" s="1"/>
      <c r="J97" s="5">
        <f t="shared" si="30"/>
        <v>4.8502093673710251E-4</v>
      </c>
      <c r="K97" s="1"/>
      <c r="L97" s="1">
        <f t="shared" si="31"/>
        <v>-150</v>
      </c>
      <c r="M97" s="1"/>
      <c r="N97" s="5">
        <f t="shared" si="32"/>
        <v>-1</v>
      </c>
      <c r="O97" s="14"/>
      <c r="P97" s="1">
        <f>SUM(OSRRefP22_6x_0)</f>
        <v>0</v>
      </c>
      <c r="Q97" s="1"/>
      <c r="R97" s="5">
        <f t="shared" si="33"/>
        <v>0</v>
      </c>
      <c r="S97" s="1"/>
      <c r="T97" s="1">
        <f>SUM(OSRRefT22_6x_0)</f>
        <v>300</v>
      </c>
      <c r="U97" s="1"/>
      <c r="V97" s="5">
        <f t="shared" si="34"/>
        <v>6.1186030005629111E-4</v>
      </c>
      <c r="W97" s="1"/>
      <c r="X97" s="1">
        <f t="shared" si="35"/>
        <v>-300</v>
      </c>
      <c r="Y97" s="1"/>
      <c r="Z97" s="5">
        <f t="shared" si="36"/>
        <v>-1</v>
      </c>
    </row>
    <row r="98" spans="1:26" s="24" customFormat="1" hidden="1" outlineLevel="2" x14ac:dyDescent="0.25">
      <c r="A98" s="27"/>
      <c r="B98" s="11" t="str">
        <f>CONCATENATE("          ", "6277", " - ", "EMPLOYEE APPRECIATION")</f>
        <v xml:space="preserve">          6277 - EMPLOYEE APPRECIATION</v>
      </c>
      <c r="C98" s="11"/>
      <c r="D98" s="6"/>
      <c r="E98" s="2"/>
      <c r="F98" s="7">
        <f t="shared" si="29"/>
        <v>0</v>
      </c>
      <c r="G98" s="2"/>
      <c r="H98" s="6">
        <v>150</v>
      </c>
      <c r="I98" s="2"/>
      <c r="J98" s="7">
        <f t="shared" si="30"/>
        <v>4.8502093673710251E-4</v>
      </c>
      <c r="K98" s="2"/>
      <c r="L98" s="6">
        <f t="shared" si="31"/>
        <v>-150</v>
      </c>
      <c r="M98" s="2"/>
      <c r="N98" s="7">
        <f t="shared" si="32"/>
        <v>-1</v>
      </c>
      <c r="O98" s="11"/>
      <c r="P98" s="6"/>
      <c r="Q98" s="2"/>
      <c r="R98" s="7">
        <f t="shared" si="33"/>
        <v>0</v>
      </c>
      <c r="S98" s="2"/>
      <c r="T98" s="6">
        <v>300</v>
      </c>
      <c r="U98" s="2"/>
      <c r="V98" s="7">
        <f t="shared" si="34"/>
        <v>6.1186030005629111E-4</v>
      </c>
      <c r="W98" s="2"/>
      <c r="X98" s="6">
        <f t="shared" si="35"/>
        <v>-300</v>
      </c>
      <c r="Y98" s="2"/>
      <c r="Z98" s="7">
        <f t="shared" si="36"/>
        <v>-1</v>
      </c>
    </row>
    <row r="99" spans="1:26" s="29" customFormat="1" outlineLevel="1" collapsed="1" x14ac:dyDescent="0.25">
      <c r="A99" s="28"/>
      <c r="B99" s="14" t="str">
        <f>CONCATENATE("     ","Freight out/Postage                               ")</f>
        <v xml:space="preserve">     Freight out/Postage                               </v>
      </c>
      <c r="C99" s="14"/>
      <c r="D99" s="1">
        <f>SUM(OSRRefD22_7x_0)</f>
        <v>34.06</v>
      </c>
      <c r="E99" s="1"/>
      <c r="F99" s="5">
        <f t="shared" si="29"/>
        <v>1.1815680108257442E-4</v>
      </c>
      <c r="G99" s="1"/>
      <c r="H99" s="1">
        <f>SUM(OSRRefH22_7x_0)</f>
        <v>10</v>
      </c>
      <c r="I99" s="1"/>
      <c r="J99" s="5">
        <f t="shared" si="30"/>
        <v>3.2334729115806832E-5</v>
      </c>
      <c r="K99" s="1"/>
      <c r="L99" s="1">
        <f t="shared" si="31"/>
        <v>24.060000000000002</v>
      </c>
      <c r="M99" s="1"/>
      <c r="N99" s="5">
        <f t="shared" si="32"/>
        <v>2.4060000000000001</v>
      </c>
      <c r="O99" s="14"/>
      <c r="P99" s="1">
        <f>SUM(OSRRefP22_7x_0)</f>
        <v>50.45</v>
      </c>
      <c r="Q99" s="1"/>
      <c r="R99" s="5">
        <f t="shared" si="33"/>
        <v>1.1566801303928146E-4</v>
      </c>
      <c r="S99" s="1"/>
      <c r="T99" s="1">
        <f>SUM(OSRRefT22_7x_0)</f>
        <v>20</v>
      </c>
      <c r="U99" s="1"/>
      <c r="V99" s="5">
        <f t="shared" si="34"/>
        <v>4.0790686670419413E-5</v>
      </c>
      <c r="W99" s="1"/>
      <c r="X99" s="1">
        <f t="shared" si="35"/>
        <v>30.450000000000003</v>
      </c>
      <c r="Y99" s="1"/>
      <c r="Z99" s="5">
        <f t="shared" si="36"/>
        <v>1.5225000000000002</v>
      </c>
    </row>
    <row r="100" spans="1:26" s="24" customFormat="1" hidden="1" outlineLevel="2" x14ac:dyDescent="0.25">
      <c r="A100" s="27"/>
      <c r="B100" s="11" t="str">
        <f>CONCATENATE("          ", "6305", " - ", "FREIGHT OUT")</f>
        <v xml:space="preserve">          6305 - FREIGHT OUT</v>
      </c>
      <c r="C100" s="11"/>
      <c r="D100" s="6">
        <v>34.06</v>
      </c>
      <c r="E100" s="2"/>
      <c r="F100" s="7">
        <f t="shared" si="29"/>
        <v>1.1815680108257442E-4</v>
      </c>
      <c r="G100" s="2"/>
      <c r="H100" s="6"/>
      <c r="I100" s="2"/>
      <c r="J100" s="7">
        <f t="shared" si="30"/>
        <v>0</v>
      </c>
      <c r="K100" s="2"/>
      <c r="L100" s="6">
        <f t="shared" si="31"/>
        <v>34.06</v>
      </c>
      <c r="M100" s="2"/>
      <c r="N100" s="7">
        <f t="shared" si="32"/>
        <v>0</v>
      </c>
      <c r="O100" s="11"/>
      <c r="P100" s="6">
        <v>50.45</v>
      </c>
      <c r="Q100" s="2"/>
      <c r="R100" s="7">
        <f t="shared" si="33"/>
        <v>1.1566801303928146E-4</v>
      </c>
      <c r="S100" s="2"/>
      <c r="T100" s="6"/>
      <c r="U100" s="2"/>
      <c r="V100" s="7">
        <f t="shared" si="34"/>
        <v>0</v>
      </c>
      <c r="W100" s="2"/>
      <c r="X100" s="6">
        <f t="shared" si="35"/>
        <v>50.45</v>
      </c>
      <c r="Y100" s="2"/>
      <c r="Z100" s="7">
        <f t="shared" si="36"/>
        <v>0</v>
      </c>
    </row>
    <row r="101" spans="1:26" s="24" customFormat="1" hidden="1" outlineLevel="2" x14ac:dyDescent="0.25">
      <c r="A101" s="27"/>
      <c r="B101" s="11" t="str">
        <f>CONCATENATE("          ", "6307", " - ", "POSTAGE")</f>
        <v xml:space="preserve">          6307 - POSTAGE</v>
      </c>
      <c r="C101" s="11"/>
      <c r="D101" s="6"/>
      <c r="E101" s="2"/>
      <c r="F101" s="7">
        <f t="shared" si="29"/>
        <v>0</v>
      </c>
      <c r="G101" s="2"/>
      <c r="H101" s="6">
        <v>10</v>
      </c>
      <c r="I101" s="2"/>
      <c r="J101" s="7">
        <f t="shared" si="30"/>
        <v>3.2334729115806832E-5</v>
      </c>
      <c r="K101" s="2"/>
      <c r="L101" s="6">
        <f t="shared" si="31"/>
        <v>-10</v>
      </c>
      <c r="M101" s="2"/>
      <c r="N101" s="7">
        <f t="shared" si="32"/>
        <v>-1</v>
      </c>
      <c r="O101" s="11"/>
      <c r="P101" s="6"/>
      <c r="Q101" s="2"/>
      <c r="R101" s="7">
        <f t="shared" si="33"/>
        <v>0</v>
      </c>
      <c r="S101" s="2"/>
      <c r="T101" s="6">
        <v>20</v>
      </c>
      <c r="U101" s="2"/>
      <c r="V101" s="7">
        <f t="shared" si="34"/>
        <v>4.0790686670419413E-5</v>
      </c>
      <c r="W101" s="2"/>
      <c r="X101" s="6">
        <f t="shared" si="35"/>
        <v>-20</v>
      </c>
      <c r="Y101" s="2"/>
      <c r="Z101" s="7">
        <f t="shared" si="36"/>
        <v>-1</v>
      </c>
    </row>
    <row r="102" spans="1:26" s="29" customFormat="1" outlineLevel="1" collapsed="1" x14ac:dyDescent="0.25">
      <c r="A102" s="28"/>
      <c r="B102" s="14" t="str">
        <f>CONCATENATE("     ","General                                           ")</f>
        <v xml:space="preserve">     General                                           </v>
      </c>
      <c r="C102" s="14"/>
      <c r="D102" s="1">
        <f>SUM(OSRRefD22_8x_0)</f>
        <v>0</v>
      </c>
      <c r="E102" s="1"/>
      <c r="F102" s="5">
        <f t="shared" ref="F102:F113" si="37">IF(D$12=0,0,D102/D$12)</f>
        <v>0</v>
      </c>
      <c r="G102" s="1"/>
      <c r="H102" s="1">
        <f>SUM(OSRRefH22_8x_0)</f>
        <v>0</v>
      </c>
      <c r="I102" s="1"/>
      <c r="J102" s="5">
        <f t="shared" ref="J102:J113" si="38">IF(H$12=0,0,H102/H$12)</f>
        <v>0</v>
      </c>
      <c r="K102" s="1"/>
      <c r="L102" s="1">
        <f t="shared" ref="L102:L113" si="39">+D102-H102</f>
        <v>0</v>
      </c>
      <c r="M102" s="1"/>
      <c r="N102" s="5">
        <f t="shared" ref="N102:N113" si="40">IF(H102=0,0,L102/H102)</f>
        <v>0</v>
      </c>
      <c r="O102" s="14"/>
      <c r="P102" s="1">
        <f>SUM(OSRRefP22_8x_0)</f>
        <v>0</v>
      </c>
      <c r="Q102" s="1"/>
      <c r="R102" s="5">
        <f t="shared" ref="R102:R113" si="41">IF(P$12=0,0,P102/P$12)</f>
        <v>0</v>
      </c>
      <c r="S102" s="1"/>
      <c r="T102" s="1">
        <f>SUM(OSRRefT22_8x_0)</f>
        <v>0</v>
      </c>
      <c r="U102" s="1"/>
      <c r="V102" s="5">
        <f t="shared" ref="V102:V113" si="42">IF(T$12=0,0,T102/T$12)</f>
        <v>0</v>
      </c>
      <c r="W102" s="1"/>
      <c r="X102" s="1">
        <f t="shared" ref="X102:X113" si="43">+P102-T102</f>
        <v>0</v>
      </c>
      <c r="Y102" s="1"/>
      <c r="Z102" s="5">
        <f t="shared" ref="Z102:Z113" si="44">IF(T102=0,0,X102/T102)</f>
        <v>0</v>
      </c>
    </row>
    <row r="103" spans="1:26" s="24" customFormat="1" hidden="1" outlineLevel="2" x14ac:dyDescent="0.25">
      <c r="A103" s="27"/>
      <c r="B103" s="11" t="str">
        <f>CONCATENATE("          ", "6279", " - ", "GENERAL EXPENSE")</f>
        <v xml:space="preserve">          6279 - GENERAL EXPENSE</v>
      </c>
      <c r="C103" s="11"/>
      <c r="D103" s="6"/>
      <c r="E103" s="2"/>
      <c r="F103" s="7">
        <f t="shared" si="37"/>
        <v>0</v>
      </c>
      <c r="G103" s="2"/>
      <c r="H103" s="6">
        <v>0</v>
      </c>
      <c r="I103" s="2"/>
      <c r="J103" s="7">
        <f t="shared" si="38"/>
        <v>0</v>
      </c>
      <c r="K103" s="2"/>
      <c r="L103" s="6">
        <f t="shared" si="39"/>
        <v>0</v>
      </c>
      <c r="M103" s="2"/>
      <c r="N103" s="7">
        <f t="shared" si="40"/>
        <v>0</v>
      </c>
      <c r="O103" s="11"/>
      <c r="P103" s="6"/>
      <c r="Q103" s="2"/>
      <c r="R103" s="7">
        <f t="shared" si="41"/>
        <v>0</v>
      </c>
      <c r="S103" s="2"/>
      <c r="T103" s="6">
        <v>0</v>
      </c>
      <c r="U103" s="2"/>
      <c r="V103" s="7">
        <f t="shared" si="42"/>
        <v>0</v>
      </c>
      <c r="W103" s="2"/>
      <c r="X103" s="6">
        <f t="shared" si="43"/>
        <v>0</v>
      </c>
      <c r="Y103" s="2"/>
      <c r="Z103" s="7">
        <f t="shared" si="44"/>
        <v>0</v>
      </c>
    </row>
    <row r="104" spans="1:26" s="29" customFormat="1" outlineLevel="1" collapsed="1" x14ac:dyDescent="0.25">
      <c r="A104" s="28"/>
      <c r="B104" s="14" t="str">
        <f>CONCATENATE("     ","Inventory Adjustment                              ")</f>
        <v xml:space="preserve">     Inventory Adjustment                              </v>
      </c>
      <c r="C104" s="14"/>
      <c r="D104" s="1">
        <f>SUM(OSRRefD22_9x_0)</f>
        <v>1000</v>
      </c>
      <c r="E104" s="1"/>
      <c r="F104" s="5">
        <f t="shared" si="37"/>
        <v>3.4690781292593779E-3</v>
      </c>
      <c r="G104" s="1"/>
      <c r="H104" s="1">
        <f>SUM(OSRRefH22_9x_0)</f>
        <v>1000</v>
      </c>
      <c r="I104" s="1"/>
      <c r="J104" s="5">
        <f t="shared" si="38"/>
        <v>3.2334729115806832E-3</v>
      </c>
      <c r="K104" s="1"/>
      <c r="L104" s="1">
        <f t="shared" si="39"/>
        <v>0</v>
      </c>
      <c r="M104" s="1"/>
      <c r="N104" s="5">
        <f t="shared" si="40"/>
        <v>0</v>
      </c>
      <c r="O104" s="14"/>
      <c r="P104" s="1">
        <f>SUM(OSRRefP22_9x_0)</f>
        <v>2000</v>
      </c>
      <c r="Q104" s="1"/>
      <c r="R104" s="5">
        <f t="shared" si="41"/>
        <v>4.5854514584452513E-3</v>
      </c>
      <c r="S104" s="1"/>
      <c r="T104" s="1">
        <f>SUM(OSRRefT22_9x_0)</f>
        <v>2000</v>
      </c>
      <c r="U104" s="1"/>
      <c r="V104" s="5">
        <f t="shared" si="42"/>
        <v>4.0790686670419407E-3</v>
      </c>
      <c r="W104" s="1"/>
      <c r="X104" s="1">
        <f t="shared" si="43"/>
        <v>0</v>
      </c>
      <c r="Y104" s="1"/>
      <c r="Z104" s="5">
        <f t="shared" si="44"/>
        <v>0</v>
      </c>
    </row>
    <row r="105" spans="1:26" s="24" customFormat="1" hidden="1" outlineLevel="2" x14ac:dyDescent="0.25">
      <c r="A105" s="27"/>
      <c r="B105" s="11" t="str">
        <f>CONCATENATE("          ", "6408", " - ", "INVENTORY ADJUSTMENT")</f>
        <v xml:space="preserve">          6408 - INVENTORY ADJUSTMENT</v>
      </c>
      <c r="C105" s="11"/>
      <c r="D105" s="6">
        <v>1000</v>
      </c>
      <c r="E105" s="2"/>
      <c r="F105" s="7">
        <f t="shared" si="37"/>
        <v>3.4690781292593779E-3</v>
      </c>
      <c r="G105" s="2"/>
      <c r="H105" s="6">
        <v>1000</v>
      </c>
      <c r="I105" s="2"/>
      <c r="J105" s="7">
        <f t="shared" si="38"/>
        <v>3.2334729115806832E-3</v>
      </c>
      <c r="K105" s="2"/>
      <c r="L105" s="6">
        <f t="shared" si="39"/>
        <v>0</v>
      </c>
      <c r="M105" s="2"/>
      <c r="N105" s="7">
        <f t="shared" si="40"/>
        <v>0</v>
      </c>
      <c r="O105" s="11"/>
      <c r="P105" s="6">
        <v>2000</v>
      </c>
      <c r="Q105" s="2"/>
      <c r="R105" s="7">
        <f t="shared" si="41"/>
        <v>4.5854514584452513E-3</v>
      </c>
      <c r="S105" s="2"/>
      <c r="T105" s="6">
        <v>2000</v>
      </c>
      <c r="U105" s="2"/>
      <c r="V105" s="7">
        <f t="shared" si="42"/>
        <v>4.0790686670419407E-3</v>
      </c>
      <c r="W105" s="2"/>
      <c r="X105" s="6">
        <f t="shared" si="43"/>
        <v>0</v>
      </c>
      <c r="Y105" s="2"/>
      <c r="Z105" s="7">
        <f t="shared" si="44"/>
        <v>0</v>
      </c>
    </row>
    <row r="106" spans="1:26" s="29" customFormat="1" outlineLevel="1" collapsed="1" x14ac:dyDescent="0.25">
      <c r="A106" s="28"/>
      <c r="B106" s="14" t="str">
        <f>CONCATENATE("     ","Professional Services                             ")</f>
        <v xml:space="preserve">     Professional Services                             </v>
      </c>
      <c r="C106" s="14"/>
      <c r="D106" s="1">
        <f>SUM(OSRRefD22_10x_0)</f>
        <v>0</v>
      </c>
      <c r="E106" s="1"/>
      <c r="F106" s="5">
        <f t="shared" si="37"/>
        <v>0</v>
      </c>
      <c r="G106" s="1"/>
      <c r="H106" s="1">
        <f>SUM(OSRRefH22_10x_0)</f>
        <v>0</v>
      </c>
      <c r="I106" s="1"/>
      <c r="J106" s="5">
        <f t="shared" si="38"/>
        <v>0</v>
      </c>
      <c r="K106" s="1"/>
      <c r="L106" s="1">
        <f t="shared" si="39"/>
        <v>0</v>
      </c>
      <c r="M106" s="1"/>
      <c r="N106" s="5">
        <f t="shared" si="40"/>
        <v>0</v>
      </c>
      <c r="O106" s="14"/>
      <c r="P106" s="1">
        <f>SUM(OSRRefP22_10x_0)</f>
        <v>0</v>
      </c>
      <c r="Q106" s="1"/>
      <c r="R106" s="5">
        <f t="shared" si="41"/>
        <v>0</v>
      </c>
      <c r="S106" s="1"/>
      <c r="T106" s="1">
        <f>SUM(OSRRefT22_10x_0)</f>
        <v>5000</v>
      </c>
      <c r="U106" s="1"/>
      <c r="V106" s="5">
        <f t="shared" si="42"/>
        <v>1.0197671667604852E-2</v>
      </c>
      <c r="W106" s="1"/>
      <c r="X106" s="1">
        <f t="shared" si="43"/>
        <v>-5000</v>
      </c>
      <c r="Y106" s="1"/>
      <c r="Z106" s="5">
        <f t="shared" si="44"/>
        <v>-1</v>
      </c>
    </row>
    <row r="107" spans="1:26" s="24" customFormat="1" hidden="1" outlineLevel="2" x14ac:dyDescent="0.25">
      <c r="A107" s="27"/>
      <c r="B107" s="11" t="str">
        <f>CONCATENATE("          ", "6336", " - ", "PROFESSIONAL SERVICES")</f>
        <v xml:space="preserve">          6336 - PROFESSIONAL SERVICES</v>
      </c>
      <c r="C107" s="11"/>
      <c r="D107" s="6"/>
      <c r="E107" s="2"/>
      <c r="F107" s="7">
        <f t="shared" si="37"/>
        <v>0</v>
      </c>
      <c r="G107" s="2"/>
      <c r="H107" s="6">
        <v>0</v>
      </c>
      <c r="I107" s="2"/>
      <c r="J107" s="7">
        <f t="shared" si="38"/>
        <v>0</v>
      </c>
      <c r="K107" s="2"/>
      <c r="L107" s="6">
        <f t="shared" si="39"/>
        <v>0</v>
      </c>
      <c r="M107" s="2"/>
      <c r="N107" s="7">
        <f t="shared" si="40"/>
        <v>0</v>
      </c>
      <c r="O107" s="11"/>
      <c r="P107" s="6"/>
      <c r="Q107" s="2"/>
      <c r="R107" s="7">
        <f t="shared" si="41"/>
        <v>0</v>
      </c>
      <c r="S107" s="2"/>
      <c r="T107" s="6">
        <v>5000</v>
      </c>
      <c r="U107" s="2"/>
      <c r="V107" s="7">
        <f t="shared" si="42"/>
        <v>1.0197671667604852E-2</v>
      </c>
      <c r="W107" s="2"/>
      <c r="X107" s="6">
        <f t="shared" si="43"/>
        <v>-5000</v>
      </c>
      <c r="Y107" s="2"/>
      <c r="Z107" s="7">
        <f t="shared" si="44"/>
        <v>-1</v>
      </c>
    </row>
    <row r="108" spans="1:26" s="29" customFormat="1" outlineLevel="1" collapsed="1" x14ac:dyDescent="0.25">
      <c r="A108" s="28"/>
      <c r="B108" s="14" t="str">
        <f>CONCATENATE("     ","Repair and Maintenance                            ")</f>
        <v xml:space="preserve">     Repair and Maintenance                            </v>
      </c>
      <c r="C108" s="14"/>
      <c r="D108" s="1">
        <f>SUM(OSRRefD22_11x_0)</f>
        <v>0</v>
      </c>
      <c r="E108" s="1"/>
      <c r="F108" s="5">
        <f t="shared" si="37"/>
        <v>0</v>
      </c>
      <c r="G108" s="1"/>
      <c r="H108" s="1">
        <f>SUM(OSRRefH22_11x_0)</f>
        <v>300</v>
      </c>
      <c r="I108" s="1"/>
      <c r="J108" s="5">
        <f t="shared" si="38"/>
        <v>9.7004187347420501E-4</v>
      </c>
      <c r="K108" s="1"/>
      <c r="L108" s="1">
        <f t="shared" si="39"/>
        <v>-300</v>
      </c>
      <c r="M108" s="1"/>
      <c r="N108" s="5">
        <f t="shared" si="40"/>
        <v>-1</v>
      </c>
      <c r="O108" s="14"/>
      <c r="P108" s="1">
        <f>SUM(OSRRefP22_11x_0)</f>
        <v>0</v>
      </c>
      <c r="Q108" s="1"/>
      <c r="R108" s="5">
        <f t="shared" si="41"/>
        <v>0</v>
      </c>
      <c r="S108" s="1"/>
      <c r="T108" s="1">
        <f>SUM(OSRRefT22_11x_0)</f>
        <v>350</v>
      </c>
      <c r="U108" s="1"/>
      <c r="V108" s="5">
        <f t="shared" si="42"/>
        <v>7.1383701673233962E-4</v>
      </c>
      <c r="W108" s="1"/>
      <c r="X108" s="1">
        <f t="shared" si="43"/>
        <v>-350</v>
      </c>
      <c r="Y108" s="1"/>
      <c r="Z108" s="5">
        <f t="shared" si="44"/>
        <v>-1</v>
      </c>
    </row>
    <row r="109" spans="1:26" s="24" customFormat="1" hidden="1" outlineLevel="2" x14ac:dyDescent="0.25">
      <c r="A109" s="27"/>
      <c r="B109" s="11" t="str">
        <f>CONCATENATE("          ", "6375", " - ", "OUTSIDE REPAIRS &amp; MAINTENANCE")</f>
        <v xml:space="preserve">          6375 - OUTSIDE REPAIRS &amp; MAINTENANCE</v>
      </c>
      <c r="C109" s="11"/>
      <c r="D109" s="6"/>
      <c r="E109" s="2"/>
      <c r="F109" s="7">
        <f t="shared" si="37"/>
        <v>0</v>
      </c>
      <c r="G109" s="2"/>
      <c r="H109" s="6">
        <v>300</v>
      </c>
      <c r="I109" s="2"/>
      <c r="J109" s="7">
        <f t="shared" si="38"/>
        <v>9.7004187347420501E-4</v>
      </c>
      <c r="K109" s="2"/>
      <c r="L109" s="6">
        <f t="shared" si="39"/>
        <v>-300</v>
      </c>
      <c r="M109" s="2"/>
      <c r="N109" s="7">
        <f t="shared" si="40"/>
        <v>-1</v>
      </c>
      <c r="O109" s="11"/>
      <c r="P109" s="6"/>
      <c r="Q109" s="2"/>
      <c r="R109" s="7">
        <f t="shared" si="41"/>
        <v>0</v>
      </c>
      <c r="S109" s="2"/>
      <c r="T109" s="6">
        <v>350</v>
      </c>
      <c r="U109" s="2"/>
      <c r="V109" s="7">
        <f t="shared" si="42"/>
        <v>7.1383701673233962E-4</v>
      </c>
      <c r="W109" s="2"/>
      <c r="X109" s="6">
        <f t="shared" si="43"/>
        <v>-350</v>
      </c>
      <c r="Y109" s="2"/>
      <c r="Z109" s="7">
        <f t="shared" si="44"/>
        <v>-1</v>
      </c>
    </row>
    <row r="110" spans="1:26" s="29" customFormat="1" outlineLevel="1" collapsed="1" x14ac:dyDescent="0.25">
      <c r="A110" s="28"/>
      <c r="B110" s="14" t="str">
        <f>CONCATENATE("     ","Royalty &amp; Commissions                             ")</f>
        <v xml:space="preserve">     Royalty &amp; Commissions                             </v>
      </c>
      <c r="C110" s="14"/>
      <c r="D110" s="1">
        <f>SUM(OSRRefD22_12x_0)</f>
        <v>2250</v>
      </c>
      <c r="E110" s="1"/>
      <c r="F110" s="5">
        <f t="shared" si="37"/>
        <v>7.8054257908336004E-3</v>
      </c>
      <c r="G110" s="1"/>
      <c r="H110" s="1">
        <f>SUM(OSRRefH22_12x_0)</f>
        <v>6271</v>
      </c>
      <c r="I110" s="1"/>
      <c r="J110" s="5">
        <f t="shared" si="38"/>
        <v>2.0277108628522465E-2</v>
      </c>
      <c r="K110" s="1"/>
      <c r="L110" s="1">
        <f t="shared" si="39"/>
        <v>-4021</v>
      </c>
      <c r="M110" s="1"/>
      <c r="N110" s="5">
        <f t="shared" si="40"/>
        <v>-0.64120554935416996</v>
      </c>
      <c r="O110" s="14"/>
      <c r="P110" s="1">
        <f>SUM(OSRRefP22_12x_0)</f>
        <v>7922.2</v>
      </c>
      <c r="Q110" s="1"/>
      <c r="R110" s="5">
        <f t="shared" si="41"/>
        <v>1.8163431772047482E-2</v>
      </c>
      <c r="S110" s="1"/>
      <c r="T110" s="1">
        <f>SUM(OSRRefT22_12x_0)</f>
        <v>12542</v>
      </c>
      <c r="U110" s="1"/>
      <c r="V110" s="5">
        <f t="shared" si="42"/>
        <v>2.5579839611020012E-2</v>
      </c>
      <c r="W110" s="1"/>
      <c r="X110" s="1">
        <f t="shared" si="43"/>
        <v>-4619.8</v>
      </c>
      <c r="Y110" s="1"/>
      <c r="Z110" s="5">
        <f t="shared" si="44"/>
        <v>-0.36834635624302348</v>
      </c>
    </row>
    <row r="111" spans="1:26" s="24" customFormat="1" hidden="1" outlineLevel="2" x14ac:dyDescent="0.25">
      <c r="A111" s="27"/>
      <c r="B111" s="11" t="str">
        <f>CONCATENATE("          ", "6252", " - ", "ROYALTY DUE CSTV")</f>
        <v xml:space="preserve">          6252 - ROYALTY DUE CSTV</v>
      </c>
      <c r="C111" s="11"/>
      <c r="D111" s="6"/>
      <c r="E111" s="2"/>
      <c r="F111" s="7">
        <f t="shared" si="37"/>
        <v>0</v>
      </c>
      <c r="G111" s="2"/>
      <c r="H111" s="6">
        <v>1085</v>
      </c>
      <c r="I111" s="2"/>
      <c r="J111" s="7">
        <f t="shared" si="38"/>
        <v>3.5083181090650411E-3</v>
      </c>
      <c r="K111" s="2"/>
      <c r="L111" s="6">
        <f t="shared" si="39"/>
        <v>-1085</v>
      </c>
      <c r="M111" s="2"/>
      <c r="N111" s="7">
        <f t="shared" si="40"/>
        <v>-1</v>
      </c>
      <c r="O111" s="11"/>
      <c r="P111" s="6"/>
      <c r="Q111" s="2"/>
      <c r="R111" s="7">
        <f t="shared" si="41"/>
        <v>0</v>
      </c>
      <c r="S111" s="2"/>
      <c r="T111" s="6">
        <v>2170</v>
      </c>
      <c r="U111" s="2"/>
      <c r="V111" s="7">
        <f t="shared" si="42"/>
        <v>4.4257895037405062E-3</v>
      </c>
      <c r="W111" s="2"/>
      <c r="X111" s="6">
        <f t="shared" si="43"/>
        <v>-2170</v>
      </c>
      <c r="Y111" s="2"/>
      <c r="Z111" s="7">
        <f t="shared" si="44"/>
        <v>-1</v>
      </c>
    </row>
    <row r="112" spans="1:26" s="24" customFormat="1" hidden="1" outlineLevel="2" x14ac:dyDescent="0.25">
      <c r="A112" s="27"/>
      <c r="B112" s="11" t="str">
        <f>CONCATENATE("          ", "6253", " - ", "ROYALTY DUE ATHLETICS-LRG")</f>
        <v xml:space="preserve">          6253 - ROYALTY DUE ATHLETICS-LRG</v>
      </c>
      <c r="C112" s="11"/>
      <c r="D112" s="6">
        <v>2250</v>
      </c>
      <c r="E112" s="2"/>
      <c r="F112" s="7">
        <f t="shared" si="37"/>
        <v>7.8054257908336004E-3</v>
      </c>
      <c r="G112" s="2"/>
      <c r="H112" s="6">
        <v>4037</v>
      </c>
      <c r="I112" s="2"/>
      <c r="J112" s="7">
        <f t="shared" si="38"/>
        <v>1.3053530144051218E-2</v>
      </c>
      <c r="K112" s="2"/>
      <c r="L112" s="6">
        <f t="shared" si="39"/>
        <v>-1787</v>
      </c>
      <c r="M112" s="2"/>
      <c r="N112" s="7">
        <f t="shared" si="40"/>
        <v>-0.44265543720584594</v>
      </c>
      <c r="O112" s="11"/>
      <c r="P112" s="6">
        <v>7922.2</v>
      </c>
      <c r="Q112" s="2"/>
      <c r="R112" s="7">
        <f t="shared" si="41"/>
        <v>1.8163431772047482E-2</v>
      </c>
      <c r="S112" s="2"/>
      <c r="T112" s="6">
        <v>8074</v>
      </c>
      <c r="U112" s="2"/>
      <c r="V112" s="7">
        <f t="shared" si="42"/>
        <v>1.6467200208848315E-2</v>
      </c>
      <c r="W112" s="2"/>
      <c r="X112" s="6">
        <f t="shared" si="43"/>
        <v>-151.80000000000018</v>
      </c>
      <c r="Y112" s="2"/>
      <c r="Z112" s="7">
        <f t="shared" si="44"/>
        <v>-1.8801089918256152E-2</v>
      </c>
    </row>
    <row r="113" spans="1:26" s="24" customFormat="1" hidden="1" outlineLevel="2" x14ac:dyDescent="0.25">
      <c r="A113" s="27"/>
      <c r="B113" s="11" t="str">
        <f>CONCATENATE("          ", "6254", " - ", "ROYALTY &amp; COMMISSIONS")</f>
        <v xml:space="preserve">          6254 - ROYALTY &amp; COMMISSIONS</v>
      </c>
      <c r="C113" s="11"/>
      <c r="D113" s="6"/>
      <c r="E113" s="2"/>
      <c r="F113" s="7">
        <f t="shared" si="37"/>
        <v>0</v>
      </c>
      <c r="G113" s="2"/>
      <c r="H113" s="6">
        <v>1149</v>
      </c>
      <c r="I113" s="2"/>
      <c r="J113" s="7">
        <f t="shared" si="38"/>
        <v>3.715260375406205E-3</v>
      </c>
      <c r="K113" s="2"/>
      <c r="L113" s="6">
        <f t="shared" si="39"/>
        <v>-1149</v>
      </c>
      <c r="M113" s="2"/>
      <c r="N113" s="7">
        <f t="shared" si="40"/>
        <v>-1</v>
      </c>
      <c r="O113" s="11"/>
      <c r="P113" s="6"/>
      <c r="Q113" s="2"/>
      <c r="R113" s="7">
        <f t="shared" si="41"/>
        <v>0</v>
      </c>
      <c r="S113" s="2"/>
      <c r="T113" s="6">
        <v>2298</v>
      </c>
      <c r="U113" s="2"/>
      <c r="V113" s="7">
        <f t="shared" si="42"/>
        <v>4.6868498984311904E-3</v>
      </c>
      <c r="W113" s="2"/>
      <c r="X113" s="6">
        <f t="shared" si="43"/>
        <v>-2298</v>
      </c>
      <c r="Y113" s="2"/>
      <c r="Z113" s="7">
        <f t="shared" si="44"/>
        <v>-1</v>
      </c>
    </row>
    <row r="114" spans="1:26" s="29" customFormat="1" outlineLevel="1" collapsed="1" x14ac:dyDescent="0.25">
      <c r="A114" s="28"/>
      <c r="B114" s="14" t="str">
        <f>CONCATENATE("     ","Subscriptions &amp; Dues                              ")</f>
        <v xml:space="preserve">     Subscriptions &amp; Dues                              </v>
      </c>
      <c r="C114" s="14"/>
      <c r="D114" s="1">
        <f>SUM(OSRRefD22_13x_0)</f>
        <v>0</v>
      </c>
      <c r="E114" s="1"/>
      <c r="F114" s="5">
        <f t="shared" ref="F114:F123" si="45">IF(D$12=0,0,D114/D$12)</f>
        <v>0</v>
      </c>
      <c r="G114" s="1"/>
      <c r="H114" s="1">
        <f>SUM(OSRRefH22_13x_0)</f>
        <v>0</v>
      </c>
      <c r="I114" s="1"/>
      <c r="J114" s="5">
        <f t="shared" ref="J114:J123" si="46">IF(H$12=0,0,H114/H$12)</f>
        <v>0</v>
      </c>
      <c r="K114" s="1"/>
      <c r="L114" s="1">
        <f t="shared" ref="L114:L123" si="47">+D114-H114</f>
        <v>0</v>
      </c>
      <c r="M114" s="1"/>
      <c r="N114" s="5">
        <f t="shared" ref="N114:N123" si="48">IF(H114=0,0,L114/H114)</f>
        <v>0</v>
      </c>
      <c r="O114" s="14"/>
      <c r="P114" s="1">
        <f>SUM(OSRRefP22_13x_0)</f>
        <v>0</v>
      </c>
      <c r="Q114" s="1"/>
      <c r="R114" s="5">
        <f t="shared" ref="R114:R123" si="49">IF(P$12=0,0,P114/P$12)</f>
        <v>0</v>
      </c>
      <c r="S114" s="1"/>
      <c r="T114" s="1">
        <f>SUM(OSRRefT22_13x_0)</f>
        <v>1000</v>
      </c>
      <c r="U114" s="1"/>
      <c r="V114" s="5">
        <f t="shared" ref="V114:V123" si="50">IF(T$12=0,0,T114/T$12)</f>
        <v>2.0395343335209704E-3</v>
      </c>
      <c r="W114" s="1"/>
      <c r="X114" s="1">
        <f t="shared" ref="X114:X123" si="51">+P114-T114</f>
        <v>-1000</v>
      </c>
      <c r="Y114" s="1"/>
      <c r="Z114" s="5">
        <f t="shared" ref="Z114:Z123" si="52">IF(T114=0,0,X114/T114)</f>
        <v>-1</v>
      </c>
    </row>
    <row r="115" spans="1:26" s="24" customFormat="1" hidden="1" outlineLevel="2" x14ac:dyDescent="0.25">
      <c r="A115" s="27"/>
      <c r="B115" s="11" t="str">
        <f>CONCATENATE("          ", "6258", " - ", "MEMBERSHIP DUES")</f>
        <v xml:space="preserve">          6258 - MEMBERSHIP DUES</v>
      </c>
      <c r="C115" s="11"/>
      <c r="D115" s="6"/>
      <c r="E115" s="2"/>
      <c r="F115" s="7">
        <f t="shared" si="45"/>
        <v>0</v>
      </c>
      <c r="G115" s="2"/>
      <c r="H115" s="6">
        <v>0</v>
      </c>
      <c r="I115" s="2"/>
      <c r="J115" s="7">
        <f t="shared" si="46"/>
        <v>0</v>
      </c>
      <c r="K115" s="2"/>
      <c r="L115" s="6">
        <f t="shared" si="47"/>
        <v>0</v>
      </c>
      <c r="M115" s="2"/>
      <c r="N115" s="7">
        <f t="shared" si="48"/>
        <v>0</v>
      </c>
      <c r="O115" s="11"/>
      <c r="P115" s="6"/>
      <c r="Q115" s="2"/>
      <c r="R115" s="7">
        <f t="shared" si="49"/>
        <v>0</v>
      </c>
      <c r="S115" s="2"/>
      <c r="T115" s="6">
        <v>1000</v>
      </c>
      <c r="U115" s="2"/>
      <c r="V115" s="7">
        <f t="shared" si="50"/>
        <v>2.0395343335209704E-3</v>
      </c>
      <c r="W115" s="2"/>
      <c r="X115" s="6">
        <f t="shared" si="51"/>
        <v>-1000</v>
      </c>
      <c r="Y115" s="2"/>
      <c r="Z115" s="7">
        <f t="shared" si="52"/>
        <v>-1</v>
      </c>
    </row>
    <row r="116" spans="1:26" s="29" customFormat="1" outlineLevel="1" collapsed="1" x14ac:dyDescent="0.25">
      <c r="A116" s="28"/>
      <c r="B116" s="14" t="str">
        <f>CONCATENATE("     ","Supplies                                          ")</f>
        <v xml:space="preserve">     Supplies                                          </v>
      </c>
      <c r="C116" s="14"/>
      <c r="D116" s="1">
        <f>SUM(OSRRefD22_14x_0)</f>
        <v>58.15</v>
      </c>
      <c r="E116" s="1"/>
      <c r="F116" s="5">
        <f t="shared" si="45"/>
        <v>2.0172689321643281E-4</v>
      </c>
      <c r="G116" s="1"/>
      <c r="H116" s="1">
        <f>SUM(OSRRefH22_14x_0)</f>
        <v>450</v>
      </c>
      <c r="I116" s="1"/>
      <c r="J116" s="5">
        <f t="shared" si="46"/>
        <v>1.4550628102113074E-3</v>
      </c>
      <c r="K116" s="1"/>
      <c r="L116" s="1">
        <f t="shared" si="47"/>
        <v>-391.85</v>
      </c>
      <c r="M116" s="1"/>
      <c r="N116" s="5">
        <f t="shared" si="48"/>
        <v>-0.87077777777777787</v>
      </c>
      <c r="O116" s="14"/>
      <c r="P116" s="1">
        <f>SUM(OSRRefP22_14x_0)</f>
        <v>1067.9100000000001</v>
      </c>
      <c r="Q116" s="1"/>
      <c r="R116" s="5">
        <f t="shared" si="49"/>
        <v>2.4484247334941342E-3</v>
      </c>
      <c r="S116" s="1"/>
      <c r="T116" s="1">
        <f>SUM(OSRRefT22_14x_0)</f>
        <v>900</v>
      </c>
      <c r="U116" s="1"/>
      <c r="V116" s="5">
        <f t="shared" si="50"/>
        <v>1.8355809001688735E-3</v>
      </c>
      <c r="W116" s="1"/>
      <c r="X116" s="1">
        <f t="shared" si="51"/>
        <v>167.91000000000008</v>
      </c>
      <c r="Y116" s="1"/>
      <c r="Z116" s="5">
        <f t="shared" si="52"/>
        <v>0.18656666666666677</v>
      </c>
    </row>
    <row r="117" spans="1:26" s="24" customFormat="1" hidden="1" outlineLevel="2" x14ac:dyDescent="0.25">
      <c r="A117" s="27"/>
      <c r="B117" s="11" t="str">
        <f>CONCATENATE("          ", "6234", " - ", "EXPENDABLE SUPPLIES &amp; EQUIPMEN")</f>
        <v xml:space="preserve">          6234 - EXPENDABLE SUPPLIES &amp; EQUIPMEN</v>
      </c>
      <c r="C117" s="11"/>
      <c r="D117" s="6"/>
      <c r="E117" s="2"/>
      <c r="F117" s="7">
        <f t="shared" si="45"/>
        <v>0</v>
      </c>
      <c r="G117" s="2"/>
      <c r="H117" s="6">
        <v>50</v>
      </c>
      <c r="I117" s="2"/>
      <c r="J117" s="7">
        <f t="shared" si="46"/>
        <v>1.6167364557903417E-4</v>
      </c>
      <c r="K117" s="2"/>
      <c r="L117" s="6">
        <f t="shared" si="47"/>
        <v>-50</v>
      </c>
      <c r="M117" s="2"/>
      <c r="N117" s="7">
        <f t="shared" si="48"/>
        <v>-1</v>
      </c>
      <c r="O117" s="11"/>
      <c r="P117" s="6"/>
      <c r="Q117" s="2"/>
      <c r="R117" s="7">
        <f t="shared" si="49"/>
        <v>0</v>
      </c>
      <c r="S117" s="2"/>
      <c r="T117" s="6">
        <v>100</v>
      </c>
      <c r="U117" s="2"/>
      <c r="V117" s="7">
        <f t="shared" si="50"/>
        <v>2.0395343335209706E-4</v>
      </c>
      <c r="W117" s="2"/>
      <c r="X117" s="6">
        <f t="shared" si="51"/>
        <v>-100</v>
      </c>
      <c r="Y117" s="2"/>
      <c r="Z117" s="7">
        <f t="shared" si="52"/>
        <v>-1</v>
      </c>
    </row>
    <row r="118" spans="1:26" s="24" customFormat="1" hidden="1" outlineLevel="2" x14ac:dyDescent="0.25">
      <c r="A118" s="27"/>
      <c r="B118" s="11" t="str">
        <f>CONCATENATE("          ", "6235", " - ", "COVID-19 EXPENSES")</f>
        <v xml:space="preserve">          6235 - COVID-19 EXPENSES</v>
      </c>
      <c r="C118" s="11"/>
      <c r="D118" s="6"/>
      <c r="E118" s="2"/>
      <c r="F118" s="7">
        <f t="shared" si="45"/>
        <v>0</v>
      </c>
      <c r="G118" s="2"/>
      <c r="H118" s="6">
        <v>100</v>
      </c>
      <c r="I118" s="2"/>
      <c r="J118" s="7">
        <f t="shared" si="46"/>
        <v>3.2334729115806834E-4</v>
      </c>
      <c r="K118" s="2"/>
      <c r="L118" s="6">
        <f t="shared" si="47"/>
        <v>-100</v>
      </c>
      <c r="M118" s="2"/>
      <c r="N118" s="7">
        <f t="shared" si="48"/>
        <v>-1</v>
      </c>
      <c r="O118" s="11"/>
      <c r="P118" s="6">
        <v>961.38</v>
      </c>
      <c r="Q118" s="2"/>
      <c r="R118" s="7">
        <f t="shared" si="49"/>
        <v>2.2041806615600477E-3</v>
      </c>
      <c r="S118" s="2"/>
      <c r="T118" s="6">
        <v>200</v>
      </c>
      <c r="U118" s="2"/>
      <c r="V118" s="7">
        <f t="shared" si="50"/>
        <v>4.0790686670419413E-4</v>
      </c>
      <c r="W118" s="2"/>
      <c r="X118" s="6">
        <f t="shared" si="51"/>
        <v>761.38</v>
      </c>
      <c r="Y118" s="2"/>
      <c r="Z118" s="7">
        <f t="shared" si="52"/>
        <v>3.8069000000000002</v>
      </c>
    </row>
    <row r="119" spans="1:26" s="24" customFormat="1" hidden="1" outlineLevel="2" x14ac:dyDescent="0.25">
      <c r="A119" s="27"/>
      <c r="B119" s="11" t="str">
        <f>CONCATENATE("          ", "6237", " - ", "JANITORIAL SUPPLIES")</f>
        <v xml:space="preserve">          6237 - JANITORIAL SUPPLIES</v>
      </c>
      <c r="C119" s="11"/>
      <c r="D119" s="6"/>
      <c r="E119" s="2"/>
      <c r="F119" s="7">
        <f t="shared" si="45"/>
        <v>0</v>
      </c>
      <c r="G119" s="2"/>
      <c r="H119" s="6">
        <v>50</v>
      </c>
      <c r="I119" s="2"/>
      <c r="J119" s="7">
        <f t="shared" si="46"/>
        <v>1.6167364557903417E-4</v>
      </c>
      <c r="K119" s="2"/>
      <c r="L119" s="6">
        <f t="shared" si="47"/>
        <v>-50</v>
      </c>
      <c r="M119" s="2"/>
      <c r="N119" s="7">
        <f t="shared" si="48"/>
        <v>-1</v>
      </c>
      <c r="O119" s="11"/>
      <c r="P119" s="6"/>
      <c r="Q119" s="2"/>
      <c r="R119" s="7">
        <f t="shared" si="49"/>
        <v>0</v>
      </c>
      <c r="S119" s="2"/>
      <c r="T119" s="6">
        <v>100</v>
      </c>
      <c r="U119" s="2"/>
      <c r="V119" s="7">
        <f t="shared" si="50"/>
        <v>2.0395343335209706E-4</v>
      </c>
      <c r="W119" s="2"/>
      <c r="X119" s="6">
        <f t="shared" si="51"/>
        <v>-100</v>
      </c>
      <c r="Y119" s="2"/>
      <c r="Z119" s="7">
        <f t="shared" si="52"/>
        <v>-1</v>
      </c>
    </row>
    <row r="120" spans="1:26" s="24" customFormat="1" hidden="1" outlineLevel="2" x14ac:dyDescent="0.25">
      <c r="A120" s="27"/>
      <c r="B120" s="11" t="str">
        <f>CONCATENATE("          ", "6241", " - ", "OFFICE EXPENSE")</f>
        <v xml:space="preserve">          6241 - OFFICE EXPENSE</v>
      </c>
      <c r="C120" s="11"/>
      <c r="D120" s="6">
        <v>58.15</v>
      </c>
      <c r="E120" s="2"/>
      <c r="F120" s="7">
        <f t="shared" si="45"/>
        <v>2.0172689321643281E-4</v>
      </c>
      <c r="G120" s="2"/>
      <c r="H120" s="6">
        <v>100</v>
      </c>
      <c r="I120" s="2"/>
      <c r="J120" s="7">
        <f t="shared" si="46"/>
        <v>3.2334729115806834E-4</v>
      </c>
      <c r="K120" s="2"/>
      <c r="L120" s="6">
        <f t="shared" si="47"/>
        <v>-41.85</v>
      </c>
      <c r="M120" s="2"/>
      <c r="N120" s="7">
        <f t="shared" si="48"/>
        <v>-0.41850000000000004</v>
      </c>
      <c r="O120" s="11"/>
      <c r="P120" s="6">
        <v>106.53</v>
      </c>
      <c r="Q120" s="2"/>
      <c r="R120" s="7">
        <f t="shared" si="49"/>
        <v>2.4424407193408631E-4</v>
      </c>
      <c r="S120" s="2"/>
      <c r="T120" s="6">
        <v>200</v>
      </c>
      <c r="U120" s="2"/>
      <c r="V120" s="7">
        <f t="shared" si="50"/>
        <v>4.0790686670419413E-4</v>
      </c>
      <c r="W120" s="2"/>
      <c r="X120" s="6">
        <f t="shared" si="51"/>
        <v>-93.47</v>
      </c>
      <c r="Y120" s="2"/>
      <c r="Z120" s="7">
        <f t="shared" si="52"/>
        <v>-0.46734999999999999</v>
      </c>
    </row>
    <row r="121" spans="1:26" s="24" customFormat="1" hidden="1" outlineLevel="2" x14ac:dyDescent="0.25">
      <c r="A121" s="27"/>
      <c r="B121" s="11" t="str">
        <f>CONCATENATE("          ", "6243", " - ", "PAPER SUPPLIES")</f>
        <v xml:space="preserve">          6243 - PAPER SUPPLIES</v>
      </c>
      <c r="C121" s="11"/>
      <c r="D121" s="6"/>
      <c r="E121" s="2"/>
      <c r="F121" s="7">
        <f t="shared" si="45"/>
        <v>0</v>
      </c>
      <c r="G121" s="2"/>
      <c r="H121" s="6">
        <v>50</v>
      </c>
      <c r="I121" s="2"/>
      <c r="J121" s="7">
        <f t="shared" si="46"/>
        <v>1.6167364557903417E-4</v>
      </c>
      <c r="K121" s="2"/>
      <c r="L121" s="6">
        <f t="shared" si="47"/>
        <v>-50</v>
      </c>
      <c r="M121" s="2"/>
      <c r="N121" s="7">
        <f t="shared" si="48"/>
        <v>-1</v>
      </c>
      <c r="O121" s="11"/>
      <c r="P121" s="6"/>
      <c r="Q121" s="2"/>
      <c r="R121" s="7">
        <f t="shared" si="49"/>
        <v>0</v>
      </c>
      <c r="S121" s="2"/>
      <c r="T121" s="6">
        <v>100</v>
      </c>
      <c r="U121" s="2"/>
      <c r="V121" s="7">
        <f t="shared" si="50"/>
        <v>2.0395343335209706E-4</v>
      </c>
      <c r="W121" s="2"/>
      <c r="X121" s="6">
        <f t="shared" si="51"/>
        <v>-100</v>
      </c>
      <c r="Y121" s="2"/>
      <c r="Z121" s="7">
        <f t="shared" si="52"/>
        <v>-1</v>
      </c>
    </row>
    <row r="122" spans="1:26" s="24" customFormat="1" hidden="1" outlineLevel="2" x14ac:dyDescent="0.25">
      <c r="A122" s="27"/>
      <c r="B122" s="11" t="str">
        <f>CONCATENATE("          ", "6245", " - ", "PRINTING")</f>
        <v xml:space="preserve">          6245 - PRINTING</v>
      </c>
      <c r="C122" s="11"/>
      <c r="D122" s="6"/>
      <c r="E122" s="2"/>
      <c r="F122" s="7">
        <f t="shared" si="45"/>
        <v>0</v>
      </c>
      <c r="G122" s="2"/>
      <c r="H122" s="6">
        <v>50</v>
      </c>
      <c r="I122" s="2"/>
      <c r="J122" s="7">
        <f t="shared" si="46"/>
        <v>1.6167364557903417E-4</v>
      </c>
      <c r="K122" s="2"/>
      <c r="L122" s="6">
        <f t="shared" si="47"/>
        <v>-50</v>
      </c>
      <c r="M122" s="2"/>
      <c r="N122" s="7">
        <f t="shared" si="48"/>
        <v>-1</v>
      </c>
      <c r="O122" s="11"/>
      <c r="P122" s="6"/>
      <c r="Q122" s="2"/>
      <c r="R122" s="7">
        <f t="shared" si="49"/>
        <v>0</v>
      </c>
      <c r="S122" s="2"/>
      <c r="T122" s="6">
        <v>100</v>
      </c>
      <c r="U122" s="2"/>
      <c r="V122" s="7">
        <f t="shared" si="50"/>
        <v>2.0395343335209706E-4</v>
      </c>
      <c r="W122" s="2"/>
      <c r="X122" s="6">
        <f t="shared" si="51"/>
        <v>-100</v>
      </c>
      <c r="Y122" s="2"/>
      <c r="Z122" s="7">
        <f t="shared" si="52"/>
        <v>-1</v>
      </c>
    </row>
    <row r="123" spans="1:26" s="24" customFormat="1" hidden="1" outlineLevel="2" x14ac:dyDescent="0.25">
      <c r="A123" s="27"/>
      <c r="B123" s="11" t="str">
        <f>CONCATENATE("          ", "6247", " - ", "STORE SUPPLIES")</f>
        <v xml:space="preserve">          6247 - STORE SUPPLIES</v>
      </c>
      <c r="C123" s="11"/>
      <c r="D123" s="6"/>
      <c r="E123" s="2"/>
      <c r="F123" s="7">
        <f t="shared" si="45"/>
        <v>0</v>
      </c>
      <c r="G123" s="2"/>
      <c r="H123" s="6">
        <v>50</v>
      </c>
      <c r="I123" s="2"/>
      <c r="J123" s="7">
        <f t="shared" si="46"/>
        <v>1.6167364557903417E-4</v>
      </c>
      <c r="K123" s="2"/>
      <c r="L123" s="6">
        <f t="shared" si="47"/>
        <v>-50</v>
      </c>
      <c r="M123" s="2"/>
      <c r="N123" s="7">
        <f t="shared" si="48"/>
        <v>-1</v>
      </c>
      <c r="O123" s="11"/>
      <c r="P123" s="6"/>
      <c r="Q123" s="2"/>
      <c r="R123" s="7">
        <f t="shared" si="49"/>
        <v>0</v>
      </c>
      <c r="S123" s="2"/>
      <c r="T123" s="6">
        <v>100</v>
      </c>
      <c r="U123" s="2"/>
      <c r="V123" s="7">
        <f t="shared" si="50"/>
        <v>2.0395343335209706E-4</v>
      </c>
      <c r="W123" s="2"/>
      <c r="X123" s="6">
        <f t="shared" si="51"/>
        <v>-100</v>
      </c>
      <c r="Y123" s="2"/>
      <c r="Z123" s="7">
        <f t="shared" si="52"/>
        <v>-1</v>
      </c>
    </row>
    <row r="124" spans="1:26" s="29" customFormat="1" outlineLevel="1" collapsed="1" x14ac:dyDescent="0.25">
      <c r="A124" s="28"/>
      <c r="B124" s="14" t="str">
        <f>CONCATENATE("     ","Telephone/Data Lines                              ")</f>
        <v xml:space="preserve">     Telephone/Data Lines                              </v>
      </c>
      <c r="C124" s="14"/>
      <c r="D124" s="1">
        <f>SUM(OSRRefD22_15x_0)</f>
        <v>481.56</v>
      </c>
      <c r="E124" s="1"/>
      <c r="F124" s="5">
        <f t="shared" ref="F124:F128" si="53">IF(D$12=0,0,D124/D$12)</f>
        <v>1.6705692639261461E-3</v>
      </c>
      <c r="G124" s="1"/>
      <c r="H124" s="1">
        <f>SUM(OSRRefH22_15x_0)</f>
        <v>600</v>
      </c>
      <c r="I124" s="1"/>
      <c r="J124" s="5">
        <f t="shared" ref="J124:J128" si="54">IF(H$12=0,0,H124/H$12)</f>
        <v>1.94008374694841E-3</v>
      </c>
      <c r="K124" s="1"/>
      <c r="L124" s="1">
        <f t="shared" ref="L124:L128" si="55">+D124-H124</f>
        <v>-118.44</v>
      </c>
      <c r="M124" s="1"/>
      <c r="N124" s="5">
        <f t="shared" ref="N124:N128" si="56">IF(H124=0,0,L124/H124)</f>
        <v>-0.19739999999999999</v>
      </c>
      <c r="O124" s="14"/>
      <c r="P124" s="1">
        <f>SUM(OSRRefP22_15x_0)</f>
        <v>995.78</v>
      </c>
      <c r="Q124" s="1"/>
      <c r="R124" s="5">
        <f t="shared" ref="R124:R128" si="57">IF(P$12=0,0,P124/P$12)</f>
        <v>2.2830504266453059E-3</v>
      </c>
      <c r="S124" s="1"/>
      <c r="T124" s="1">
        <f>SUM(OSRRefT22_15x_0)</f>
        <v>1200</v>
      </c>
      <c r="U124" s="1"/>
      <c r="V124" s="5">
        <f t="shared" ref="V124:V128" si="58">IF(T$12=0,0,T124/T$12)</f>
        <v>2.4474412002251644E-3</v>
      </c>
      <c r="W124" s="1"/>
      <c r="X124" s="1">
        <f t="shared" ref="X124:X128" si="59">+P124-T124</f>
        <v>-204.22000000000003</v>
      </c>
      <c r="Y124" s="1"/>
      <c r="Z124" s="5">
        <f t="shared" ref="Z124:Z128" si="60">IF(T124=0,0,X124/T124)</f>
        <v>-0.17018333333333335</v>
      </c>
    </row>
    <row r="125" spans="1:26" s="24" customFormat="1" hidden="1" outlineLevel="2" x14ac:dyDescent="0.25">
      <c r="A125" s="27"/>
      <c r="B125" s="11" t="str">
        <f>CONCATENATE("          ", "6309", " - ", "TELEPHONE")</f>
        <v xml:space="preserve">          6309 - TELEPHONE</v>
      </c>
      <c r="C125" s="11"/>
      <c r="D125" s="6">
        <v>481.56</v>
      </c>
      <c r="E125" s="2"/>
      <c r="F125" s="7">
        <f t="shared" si="53"/>
        <v>1.6705692639261461E-3</v>
      </c>
      <c r="G125" s="2"/>
      <c r="H125" s="6">
        <v>600</v>
      </c>
      <c r="I125" s="2"/>
      <c r="J125" s="7">
        <f t="shared" si="54"/>
        <v>1.94008374694841E-3</v>
      </c>
      <c r="K125" s="2"/>
      <c r="L125" s="6">
        <f t="shared" si="55"/>
        <v>-118.44</v>
      </c>
      <c r="M125" s="2"/>
      <c r="N125" s="7">
        <f t="shared" si="56"/>
        <v>-0.19739999999999999</v>
      </c>
      <c r="O125" s="11"/>
      <c r="P125" s="6">
        <v>995.78</v>
      </c>
      <c r="Q125" s="2"/>
      <c r="R125" s="7">
        <f t="shared" si="57"/>
        <v>2.2830504266453059E-3</v>
      </c>
      <c r="S125" s="2"/>
      <c r="T125" s="6">
        <v>1200</v>
      </c>
      <c r="U125" s="2"/>
      <c r="V125" s="7">
        <f t="shared" si="58"/>
        <v>2.4474412002251644E-3</v>
      </c>
      <c r="W125" s="2"/>
      <c r="X125" s="6">
        <f t="shared" si="59"/>
        <v>-204.22000000000003</v>
      </c>
      <c r="Y125" s="2"/>
      <c r="Z125" s="7">
        <f t="shared" si="60"/>
        <v>-0.17018333333333335</v>
      </c>
    </row>
    <row r="126" spans="1:26" s="29" customFormat="1" outlineLevel="1" collapsed="1" x14ac:dyDescent="0.25">
      <c r="A126" s="28"/>
      <c r="B126" s="14" t="str">
        <f>CONCATENATE("     ","Travel                                            ")</f>
        <v xml:space="preserve">     Travel                                            </v>
      </c>
      <c r="C126" s="14"/>
      <c r="D126" s="1">
        <f>SUM(OSRRefD22_16x_0)</f>
        <v>0</v>
      </c>
      <c r="E126" s="1"/>
      <c r="F126" s="5">
        <f t="shared" si="53"/>
        <v>0</v>
      </c>
      <c r="G126" s="1"/>
      <c r="H126" s="1">
        <f>SUM(OSRRefH22_16x_0)</f>
        <v>25</v>
      </c>
      <c r="I126" s="1"/>
      <c r="J126" s="5">
        <f t="shared" si="54"/>
        <v>8.0836822789517084E-5</v>
      </c>
      <c r="K126" s="1"/>
      <c r="L126" s="1">
        <f t="shared" si="55"/>
        <v>-25</v>
      </c>
      <c r="M126" s="1"/>
      <c r="N126" s="5">
        <f t="shared" si="56"/>
        <v>-1</v>
      </c>
      <c r="O126" s="14"/>
      <c r="P126" s="1">
        <f>SUM(OSRRefP22_16x_0)</f>
        <v>0</v>
      </c>
      <c r="Q126" s="1"/>
      <c r="R126" s="5">
        <f t="shared" si="57"/>
        <v>0</v>
      </c>
      <c r="S126" s="1"/>
      <c r="T126" s="1">
        <f>SUM(OSRRefT22_16x_0)</f>
        <v>50</v>
      </c>
      <c r="U126" s="1"/>
      <c r="V126" s="5">
        <f t="shared" si="58"/>
        <v>1.0197671667604853E-4</v>
      </c>
      <c r="W126" s="1"/>
      <c r="X126" s="1">
        <f t="shared" si="59"/>
        <v>-50</v>
      </c>
      <c r="Y126" s="1"/>
      <c r="Z126" s="5">
        <f t="shared" si="60"/>
        <v>-1</v>
      </c>
    </row>
    <row r="127" spans="1:26" s="24" customFormat="1" hidden="1" outlineLevel="2" x14ac:dyDescent="0.25">
      <c r="A127" s="27"/>
      <c r="B127" s="11" t="str">
        <f>CONCATENATE("          ", "6294", " - ", "TRAVEL OPERATIONAL")</f>
        <v xml:space="preserve">          6294 - TRAVEL OPERATIONAL</v>
      </c>
      <c r="C127" s="11"/>
      <c r="D127" s="6"/>
      <c r="E127" s="2"/>
      <c r="F127" s="7">
        <f t="shared" si="53"/>
        <v>0</v>
      </c>
      <c r="G127" s="2"/>
      <c r="H127" s="6">
        <v>25</v>
      </c>
      <c r="I127" s="2"/>
      <c r="J127" s="7">
        <f t="shared" si="54"/>
        <v>8.0836822789517084E-5</v>
      </c>
      <c r="K127" s="2"/>
      <c r="L127" s="6">
        <f t="shared" si="55"/>
        <v>-25</v>
      </c>
      <c r="M127" s="2"/>
      <c r="N127" s="7">
        <f t="shared" si="56"/>
        <v>-1</v>
      </c>
      <c r="O127" s="11"/>
      <c r="P127" s="6"/>
      <c r="Q127" s="2"/>
      <c r="R127" s="7">
        <f t="shared" si="57"/>
        <v>0</v>
      </c>
      <c r="S127" s="2"/>
      <c r="T127" s="6">
        <v>50</v>
      </c>
      <c r="U127" s="2"/>
      <c r="V127" s="7">
        <f t="shared" si="58"/>
        <v>1.0197671667604853E-4</v>
      </c>
      <c r="W127" s="2"/>
      <c r="X127" s="6">
        <f t="shared" si="59"/>
        <v>-50</v>
      </c>
      <c r="Y127" s="2"/>
      <c r="Z127" s="7">
        <f t="shared" si="60"/>
        <v>-1</v>
      </c>
    </row>
    <row r="128" spans="1:26" s="24" customFormat="1" hidden="1" outlineLevel="2" x14ac:dyDescent="0.25">
      <c r="A128" s="27"/>
      <c r="B128" s="11" t="str">
        <f>CONCATENATE("          ", "6298", " - ", "VEHICLE MILEAGE")</f>
        <v xml:space="preserve">          6298 - VEHICLE MILEAGE</v>
      </c>
      <c r="C128" s="11"/>
      <c r="D128" s="6"/>
      <c r="E128" s="2"/>
      <c r="F128" s="7">
        <f t="shared" si="53"/>
        <v>0</v>
      </c>
      <c r="G128" s="2"/>
      <c r="H128" s="6">
        <v>0</v>
      </c>
      <c r="I128" s="2"/>
      <c r="J128" s="7">
        <f t="shared" si="54"/>
        <v>0</v>
      </c>
      <c r="K128" s="2"/>
      <c r="L128" s="6">
        <f t="shared" si="55"/>
        <v>0</v>
      </c>
      <c r="M128" s="2"/>
      <c r="N128" s="7">
        <f t="shared" si="56"/>
        <v>0</v>
      </c>
      <c r="O128" s="11"/>
      <c r="P128" s="6"/>
      <c r="Q128" s="2"/>
      <c r="R128" s="7">
        <f t="shared" si="57"/>
        <v>0</v>
      </c>
      <c r="S128" s="2"/>
      <c r="T128" s="6">
        <v>0</v>
      </c>
      <c r="U128" s="2"/>
      <c r="V128" s="7">
        <f t="shared" si="58"/>
        <v>0</v>
      </c>
      <c r="W128" s="2"/>
      <c r="X128" s="6">
        <f t="shared" si="59"/>
        <v>0</v>
      </c>
      <c r="Y128" s="2"/>
      <c r="Z128" s="7">
        <f t="shared" si="60"/>
        <v>0</v>
      </c>
    </row>
    <row r="129" spans="1:26" s="61" customFormat="1" x14ac:dyDescent="0.25">
      <c r="A129" s="36"/>
      <c r="B129" s="36"/>
      <c r="C129" s="36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6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2" customFormat="1" collapsed="1" x14ac:dyDescent="0.25">
      <c r="A130" s="10"/>
      <c r="B130" s="25" t="s">
        <v>0</v>
      </c>
      <c r="C130" s="10"/>
      <c r="D130" s="4">
        <f>SUM(OSRRefD25x_0)</f>
        <v>0</v>
      </c>
      <c r="E130" s="4"/>
      <c r="F130" s="12">
        <f t="shared" ref="F130:F133" si="61">IF(D$12=0,0,D130/D$12)</f>
        <v>0</v>
      </c>
      <c r="G130" s="4"/>
      <c r="H130" s="4">
        <f>SUM(OSRRefH25x_0)</f>
        <v>8075</v>
      </c>
      <c r="I130" s="4"/>
      <c r="J130" s="12">
        <f t="shared" ref="J130:J133" si="62">IF(H$12=0,0,H130/H$12)</f>
        <v>2.6110293761014015E-2</v>
      </c>
      <c r="K130" s="4"/>
      <c r="L130" s="4">
        <f t="shared" ref="L130:L133" si="63">+D130-H130</f>
        <v>-8075</v>
      </c>
      <c r="M130" s="4"/>
      <c r="N130" s="12">
        <f t="shared" ref="N130:N133" si="64">IF(H130=0,0,L130/H130)</f>
        <v>-1</v>
      </c>
      <c r="O130" s="10"/>
      <c r="P130" s="4">
        <f>SUM(OSRRefP25x_0)</f>
        <v>172008.31</v>
      </c>
      <c r="Q130" s="4"/>
      <c r="R130" s="12">
        <f t="shared" ref="R130:R133" si="65">IF(P$12=0,0,P130/P$12)</f>
        <v>0.39436787797710143</v>
      </c>
      <c r="S130" s="4"/>
      <c r="T130" s="4">
        <f>SUM(OSRRefT25x_0)</f>
        <v>16150</v>
      </c>
      <c r="U130" s="4"/>
      <c r="V130" s="12">
        <f t="shared" ref="V130:V133" si="66">IF(T$12=0,0,T130/T$12)</f>
        <v>3.2938479486363671E-2</v>
      </c>
      <c r="W130" s="4"/>
      <c r="X130" s="4">
        <f t="shared" ref="X130:X133" si="67">+P130-T130</f>
        <v>155858.31</v>
      </c>
      <c r="Y130" s="4"/>
      <c r="Z130" s="12">
        <f t="shared" ref="Z130:Z133" si="68">IF(T130=0,0,X130/T130)</f>
        <v>9.6506693498452005</v>
      </c>
    </row>
    <row r="131" spans="1:26" s="24" customFormat="1" hidden="1" outlineLevel="1" x14ac:dyDescent="0.25">
      <c r="A131" s="51"/>
      <c r="B131" s="11" t="str">
        <f>CONCATENATE("          ", "9150", " - ", "MISC. INCOME")</f>
        <v xml:space="preserve">          9150 - MISC. INCOME</v>
      </c>
      <c r="C131" s="11"/>
      <c r="D131" s="2">
        <f t="shared" ref="D131:D133" si="69">0</f>
        <v>0</v>
      </c>
      <c r="E131" s="2"/>
      <c r="F131" s="23">
        <f t="shared" si="61"/>
        <v>0</v>
      </c>
      <c r="G131" s="2"/>
      <c r="H131" s="2">
        <v>8075</v>
      </c>
      <c r="I131" s="2"/>
      <c r="J131" s="23">
        <f t="shared" si="62"/>
        <v>2.6110293761014015E-2</v>
      </c>
      <c r="K131" s="2"/>
      <c r="L131" s="2">
        <f t="shared" si="63"/>
        <v>-8075</v>
      </c>
      <c r="M131" s="2"/>
      <c r="N131" s="23">
        <f t="shared" si="64"/>
        <v>-1</v>
      </c>
      <c r="O131" s="11"/>
      <c r="P131" s="2">
        <f>--11344.41</f>
        <v>11344.41</v>
      </c>
      <c r="Q131" s="2"/>
      <c r="R131" s="23">
        <f t="shared" si="65"/>
        <v>2.6009620689850445E-2</v>
      </c>
      <c r="S131" s="2"/>
      <c r="T131" s="2">
        <v>16150</v>
      </c>
      <c r="U131" s="2"/>
      <c r="V131" s="23">
        <f t="shared" si="66"/>
        <v>3.2938479486363671E-2</v>
      </c>
      <c r="W131" s="2"/>
      <c r="X131" s="2">
        <f t="shared" si="67"/>
        <v>-4805.59</v>
      </c>
      <c r="Y131" s="2"/>
      <c r="Z131" s="23">
        <f t="shared" si="68"/>
        <v>-0.29755975232198145</v>
      </c>
    </row>
    <row r="132" spans="1:26" s="24" customFormat="1" hidden="1" outlineLevel="1" x14ac:dyDescent="0.25">
      <c r="A132" s="51"/>
      <c r="B132" s="11" t="str">
        <f>CONCATENATE("          ", "9151", " - ", "MISC. INCOME")</f>
        <v xml:space="preserve">          9151 - MISC. INCOME</v>
      </c>
      <c r="C132" s="11"/>
      <c r="D132" s="2">
        <f t="shared" si="69"/>
        <v>0</v>
      </c>
      <c r="E132" s="2"/>
      <c r="F132" s="23">
        <f t="shared" si="61"/>
        <v>0</v>
      </c>
      <c r="G132" s="2"/>
      <c r="H132" s="2">
        <v>0</v>
      </c>
      <c r="I132" s="2"/>
      <c r="J132" s="23">
        <f t="shared" si="62"/>
        <v>0</v>
      </c>
      <c r="K132" s="2"/>
      <c r="L132" s="2">
        <f t="shared" si="63"/>
        <v>0</v>
      </c>
      <c r="M132" s="2"/>
      <c r="N132" s="23">
        <f t="shared" si="64"/>
        <v>0</v>
      </c>
      <c r="O132" s="11"/>
      <c r="P132" s="2">
        <f>0</f>
        <v>0</v>
      </c>
      <c r="Q132" s="2"/>
      <c r="R132" s="23">
        <f t="shared" si="65"/>
        <v>0</v>
      </c>
      <c r="S132" s="2"/>
      <c r="T132" s="2">
        <v>0</v>
      </c>
      <c r="U132" s="2"/>
      <c r="V132" s="23">
        <f t="shared" si="66"/>
        <v>0</v>
      </c>
      <c r="W132" s="2"/>
      <c r="X132" s="2">
        <f t="shared" si="67"/>
        <v>0</v>
      </c>
      <c r="Y132" s="2"/>
      <c r="Z132" s="23">
        <f t="shared" si="68"/>
        <v>0</v>
      </c>
    </row>
    <row r="133" spans="1:26" s="24" customFormat="1" hidden="1" outlineLevel="1" x14ac:dyDescent="0.25">
      <c r="A133" s="51"/>
      <c r="B133" s="11" t="str">
        <f>CONCATENATE("          ", "9163", " - ", "MISC. INCOME")</f>
        <v xml:space="preserve">          9163 - MISC. INCOME</v>
      </c>
      <c r="C133" s="11"/>
      <c r="D133" s="2">
        <f t="shared" si="69"/>
        <v>0</v>
      </c>
      <c r="E133" s="2"/>
      <c r="F133" s="23">
        <f t="shared" si="61"/>
        <v>0</v>
      </c>
      <c r="G133" s="2"/>
      <c r="H133" s="2"/>
      <c r="I133" s="2"/>
      <c r="J133" s="23">
        <f t="shared" si="62"/>
        <v>0</v>
      </c>
      <c r="K133" s="2"/>
      <c r="L133" s="2">
        <f t="shared" si="63"/>
        <v>0</v>
      </c>
      <c r="M133" s="2"/>
      <c r="N133" s="23">
        <f t="shared" si="64"/>
        <v>0</v>
      </c>
      <c r="O133" s="11"/>
      <c r="P133" s="2">
        <f>--160663.9</f>
        <v>160663.9</v>
      </c>
      <c r="Q133" s="2"/>
      <c r="R133" s="23">
        <f t="shared" si="65"/>
        <v>0.36835825728725097</v>
      </c>
      <c r="S133" s="2"/>
      <c r="T133" s="2"/>
      <c r="U133" s="2"/>
      <c r="V133" s="23">
        <f t="shared" si="66"/>
        <v>0</v>
      </c>
      <c r="W133" s="2"/>
      <c r="X133" s="2">
        <f t="shared" si="67"/>
        <v>160663.9</v>
      </c>
      <c r="Y133" s="2"/>
      <c r="Z133" s="23">
        <f t="shared" si="68"/>
        <v>0</v>
      </c>
    </row>
    <row r="134" spans="1:26" x14ac:dyDescent="0.25">
      <c r="A134" s="9"/>
      <c r="B134" s="10"/>
      <c r="C134" s="10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O134" s="10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s="22" customFormat="1" x14ac:dyDescent="0.25">
      <c r="A135" s="10"/>
      <c r="B135" s="26" t="s">
        <v>3</v>
      </c>
      <c r="C135" s="26"/>
      <c r="D135" s="21">
        <f>+D65-D67+D130</f>
        <v>56376.299999999959</v>
      </c>
      <c r="E135" s="13"/>
      <c r="F135" s="20">
        <f>IF(D$12=0,0,D135/D$12)</f>
        <v>0.19557378933856534</v>
      </c>
      <c r="G135" s="13"/>
      <c r="H135" s="21">
        <f>+H65-H67+H130</f>
        <v>72613.297351923102</v>
      </c>
      <c r="I135" s="13"/>
      <c r="J135" s="20">
        <f>IF(H$12=0,0,H135/H$12)</f>
        <v>0.2347931300079967</v>
      </c>
      <c r="K135" s="16"/>
      <c r="L135" s="21">
        <f>+D135-H135</f>
        <v>-16236.997351923143</v>
      </c>
      <c r="M135" s="16"/>
      <c r="N135" s="20">
        <f>IF(H135=0,0,L135/H135)</f>
        <v>-0.22360914521247974</v>
      </c>
      <c r="O135" s="25"/>
      <c r="P135" s="21">
        <f>+P65-P67+P130</f>
        <v>236404.66</v>
      </c>
      <c r="Q135" s="13"/>
      <c r="R135" s="20">
        <f>IF(P$12=0,0,P135/P$12)</f>
        <v>0.54201104649012688</v>
      </c>
      <c r="S135" s="13"/>
      <c r="T135" s="21">
        <f>+T65-T67+T130</f>
        <v>81007.136703076918</v>
      </c>
      <c r="U135" s="13"/>
      <c r="V135" s="20">
        <f>IF(T$12=0,0,T135/T$12)</f>
        <v>0.16521683656615213</v>
      </c>
      <c r="W135" s="16"/>
      <c r="X135" s="21">
        <f>+P135-T135</f>
        <v>155397.52329692309</v>
      </c>
      <c r="Y135" s="16"/>
      <c r="Z135" s="20">
        <f>IF(T135=0,0,X135/T135)</f>
        <v>1.9183189237574987</v>
      </c>
    </row>
    <row r="136" spans="1:26" x14ac:dyDescent="0.25">
      <c r="A136" s="9"/>
      <c r="B136" s="10"/>
      <c r="C136" s="9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2" customFormat="1" x14ac:dyDescent="0.25">
      <c r="A137" s="52"/>
      <c r="B137" s="10" t="s">
        <v>14</v>
      </c>
      <c r="C137" s="10"/>
      <c r="D137" s="4">
        <v>-2110.92</v>
      </c>
      <c r="E137" s="4"/>
      <c r="F137" s="12">
        <f>IF(D$12=0,0,D137/D$12)</f>
        <v>-7.3229464046162063E-3</v>
      </c>
      <c r="G137" s="4"/>
      <c r="H137" s="4">
        <v>-7874</v>
      </c>
      <c r="I137" s="4"/>
      <c r="J137" s="12">
        <f>IF(H$12=0,0,H137/H$12)</f>
        <v>-2.54603657057863E-2</v>
      </c>
      <c r="K137" s="4"/>
      <c r="L137" s="4">
        <f>+D137-H137</f>
        <v>5763.08</v>
      </c>
      <c r="M137" s="4"/>
      <c r="N137" s="12">
        <f>IF(H137=0,0,L137/H137)</f>
        <v>-0.73191262382524769</v>
      </c>
      <c r="O137" s="10"/>
      <c r="P137" s="4">
        <v>73640.17</v>
      </c>
      <c r="Q137" s="4"/>
      <c r="R137" s="12">
        <f>IF(P$12=0,0,P137/P$12)</f>
        <v>0.1688367124633281</v>
      </c>
      <c r="S137" s="4"/>
      <c r="T137" s="4">
        <v>80069</v>
      </c>
      <c r="U137" s="4"/>
      <c r="V137" s="12">
        <f>IF(T$12=0,0,T137/T$12)</f>
        <v>0.16330347455069058</v>
      </c>
      <c r="W137" s="4"/>
      <c r="X137" s="4">
        <f>+P137-T137</f>
        <v>-6428.8300000000017</v>
      </c>
      <c r="Y137" s="4"/>
      <c r="Z137" s="12">
        <f>IF(T137=0,0,X137/T137)</f>
        <v>-8.0291123905631409E-2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2" customFormat="1" ht="15.75" thickBot="1" x14ac:dyDescent="0.3">
      <c r="A139" s="10"/>
      <c r="B139" s="26" t="s">
        <v>4</v>
      </c>
      <c r="C139" s="26"/>
      <c r="D139" s="33">
        <f>+D135-D137</f>
        <v>58487.219999999958</v>
      </c>
      <c r="E139" s="13"/>
      <c r="F139" s="31">
        <f>IF(D$12=0,0,D139/D$12)</f>
        <v>0.20289673574318154</v>
      </c>
      <c r="G139" s="13"/>
      <c r="H139" s="33">
        <f>+H135-H137</f>
        <v>80487.297351923102</v>
      </c>
      <c r="I139" s="13"/>
      <c r="J139" s="31">
        <f>IF(H$12=0,0,H139/H$12)</f>
        <v>0.26025349571378303</v>
      </c>
      <c r="K139" s="16"/>
      <c r="L139" s="33">
        <f>D139-H139</f>
        <v>-22000.077351923144</v>
      </c>
      <c r="M139" s="16"/>
      <c r="N139" s="31">
        <f>IF(H139=0,0,L139/H139)</f>
        <v>-0.27333601792752321</v>
      </c>
      <c r="O139" s="25"/>
      <c r="P139" s="33">
        <f>+P135-P137</f>
        <v>162764.49</v>
      </c>
      <c r="Q139" s="13"/>
      <c r="R139" s="31">
        <f>IF(P$12=0,0,P139/P$12)</f>
        <v>0.37317433402679873</v>
      </c>
      <c r="S139" s="13"/>
      <c r="T139" s="33">
        <f>+T135-T137</f>
        <v>938.13670307691791</v>
      </c>
      <c r="U139" s="13"/>
      <c r="V139" s="31">
        <f>IF(T$12=0,0,T139/T$12)</f>
        <v>1.9133620154615423E-3</v>
      </c>
      <c r="W139" s="16"/>
      <c r="X139" s="33">
        <f>P139-T139</f>
        <v>161826.35329692307</v>
      </c>
      <c r="Y139" s="16"/>
      <c r="Z139" s="31">
        <f>IF(T139=0,0,X139/T139)</f>
        <v>172.49762509681375</v>
      </c>
    </row>
    <row r="140" spans="1:26" ht="15.75" thickTop="1" x14ac:dyDescent="0.25">
      <c r="A140" s="9"/>
      <c r="B140" s="9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2" customFormat="1" ht="15.75" thickBot="1" x14ac:dyDescent="0.3">
      <c r="A142" s="10"/>
      <c r="B142" s="26" t="s">
        <v>5</v>
      </c>
      <c r="C142" s="26"/>
      <c r="D142" s="32">
        <f>SUM(D139:D141)</f>
        <v>58487.219999999958</v>
      </c>
      <c r="E142" s="13"/>
      <c r="F142" s="35">
        <f>IF(D$12=0,0,D142/D$12)</f>
        <v>0.20289673574318154</v>
      </c>
      <c r="G142" s="13"/>
      <c r="H142" s="32">
        <f>SUM(H139:H141)</f>
        <v>80487.297351923102</v>
      </c>
      <c r="I142" s="13"/>
      <c r="J142" s="35">
        <f>IF(H$12=0,0,H142/H$12)</f>
        <v>0.26025349571378303</v>
      </c>
      <c r="K142" s="16"/>
      <c r="L142" s="32">
        <f>+D142-H142</f>
        <v>-22000.077351923144</v>
      </c>
      <c r="M142" s="16"/>
      <c r="N142" s="35">
        <f>IF(H142=0,0,L142/H142)</f>
        <v>-0.27333601792752321</v>
      </c>
      <c r="O142" s="25"/>
      <c r="P142" s="32">
        <f>SUM(P139:P141)</f>
        <v>162764.49</v>
      </c>
      <c r="Q142" s="13"/>
      <c r="R142" s="35">
        <f>IF(P$12=0,0,P142/P$12)</f>
        <v>0.37317433402679873</v>
      </c>
      <c r="S142" s="13"/>
      <c r="T142" s="32">
        <f>SUM(T139:T141)</f>
        <v>938.13670307691791</v>
      </c>
      <c r="U142" s="13"/>
      <c r="V142" s="35">
        <f>IF(T$12=0,0,T142/T$12)</f>
        <v>1.9133620154615423E-3</v>
      </c>
      <c r="W142" s="16"/>
      <c r="X142" s="32">
        <f>+P142-T142</f>
        <v>161826.35329692307</v>
      </c>
      <c r="Y142" s="16"/>
      <c r="Z142" s="35">
        <f>IF(T142=0,0,X142/T142)</f>
        <v>172.49762509681375</v>
      </c>
    </row>
    <row r="143" spans="1:26" ht="15.75" thickTop="1" x14ac:dyDescent="0.25">
      <c r="A143" s="9"/>
      <c r="C143" s="9"/>
      <c r="D143" s="18"/>
      <c r="E143" s="18"/>
      <c r="G143" s="18"/>
      <c r="H143" s="18"/>
      <c r="I143" s="18"/>
      <c r="J143" s="43"/>
      <c r="K143" s="18"/>
      <c r="L143" s="18"/>
      <c r="M143" s="18"/>
      <c r="P143" s="18"/>
      <c r="Q143" s="18"/>
      <c r="R143" s="43"/>
      <c r="S143" s="18"/>
      <c r="T143" s="18"/>
      <c r="U143" s="18"/>
      <c r="V143" s="43"/>
      <c r="W143" s="18"/>
      <c r="X143" s="18"/>
    </row>
    <row r="144" spans="1:26" x14ac:dyDescent="0.25">
      <c r="A144" s="9"/>
      <c r="B144" s="59">
        <v>44113.689499189815</v>
      </c>
      <c r="D144" s="18"/>
      <c r="E144" s="18"/>
      <c r="G144" s="18"/>
      <c r="H144" s="18"/>
      <c r="I144" s="18"/>
      <c r="J144" s="43"/>
      <c r="K144" s="18"/>
      <c r="L144" s="18"/>
      <c r="M144" s="18"/>
      <c r="P144" s="18"/>
      <c r="Q144" s="18"/>
      <c r="R144" s="43"/>
      <c r="S144" s="18"/>
      <c r="T144" s="18"/>
      <c r="U144" s="18"/>
      <c r="V144" s="43"/>
      <c r="W144" s="18"/>
      <c r="X144" s="18"/>
    </row>
    <row r="145" spans="1:24" x14ac:dyDescent="0.25">
      <c r="A145" s="9"/>
      <c r="B145" s="62" t="s">
        <v>314</v>
      </c>
      <c r="D145" s="18"/>
      <c r="E145" s="18"/>
      <c r="G145" s="18"/>
      <c r="H145" s="18"/>
      <c r="I145" s="18"/>
      <c r="J145" s="43"/>
      <c r="K145" s="18"/>
      <c r="L145" s="18"/>
      <c r="M145" s="18"/>
      <c r="P145" s="18"/>
      <c r="Q145" s="18"/>
      <c r="R145" s="43"/>
      <c r="S145" s="18"/>
      <c r="T145" s="18"/>
      <c r="U145" s="18"/>
      <c r="V145" s="43"/>
      <c r="W145" s="18"/>
      <c r="X145" s="18"/>
    </row>
    <row r="146" spans="1:24" x14ac:dyDescent="0.25">
      <c r="A146" s="9"/>
      <c r="B146" s="63"/>
      <c r="D146" s="18"/>
      <c r="E146" s="18"/>
      <c r="G146" s="18"/>
      <c r="H146" s="18"/>
      <c r="I146" s="18"/>
      <c r="J146" s="43"/>
      <c r="K146" s="18"/>
      <c r="L146" s="18"/>
      <c r="M146" s="18"/>
      <c r="P146" s="18"/>
      <c r="Q146" s="18"/>
      <c r="R146" s="43"/>
      <c r="S146" s="18"/>
      <c r="T146" s="18"/>
      <c r="U146" s="18"/>
      <c r="V146" s="43"/>
      <c r="W146" s="18"/>
      <c r="X146" s="18"/>
    </row>
    <row r="147" spans="1:24" x14ac:dyDescent="0.25">
      <c r="D147" s="18"/>
      <c r="E147" s="18"/>
      <c r="G147" s="18"/>
      <c r="H147" s="18"/>
      <c r="I147" s="18"/>
      <c r="J147" s="43"/>
      <c r="K147" s="18"/>
      <c r="L147" s="18"/>
      <c r="M147" s="18"/>
      <c r="P147" s="18"/>
      <c r="Q147" s="18"/>
      <c r="R147" s="43"/>
      <c r="S147" s="18"/>
      <c r="T147" s="18"/>
      <c r="U147" s="18"/>
      <c r="V147" s="43"/>
      <c r="W147" s="18"/>
      <c r="X147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","326", " - ", "2nd Street Store")</f>
        <v>Department 326 - 2nd Street 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22797.32</v>
      </c>
      <c r="E12" s="4"/>
      <c r="F12" s="12"/>
      <c r="G12" s="4"/>
      <c r="H12" s="4">
        <f>SUM(OSRRefH13x_0)</f>
        <v>66019</v>
      </c>
      <c r="I12" s="4"/>
      <c r="J12" s="12"/>
      <c r="K12" s="4"/>
      <c r="L12" s="4">
        <f t="shared" ref="L12:L29" si="0">+D12-H12</f>
        <v>-43221.68</v>
      </c>
      <c r="M12" s="4"/>
      <c r="N12" s="12">
        <f t="shared" ref="N12:N29" si="1">IF(H12=0,0,L12/H12)</f>
        <v>-0.65468546933458549</v>
      </c>
      <c r="O12" s="10"/>
      <c r="P12" s="4">
        <f>SUM(OSRRefP13x_0)</f>
        <v>49677.090000000004</v>
      </c>
      <c r="Q12" s="4"/>
      <c r="R12" s="12"/>
      <c r="S12" s="4"/>
      <c r="T12" s="4">
        <f>SUM(OSRRefT13x_0)</f>
        <v>114927</v>
      </c>
      <c r="U12" s="4"/>
      <c r="V12" s="12"/>
      <c r="W12" s="4"/>
      <c r="X12" s="4">
        <f t="shared" ref="X12:X29" si="2">+P12-T12</f>
        <v>-65249.909999999996</v>
      </c>
      <c r="Y12" s="4"/>
      <c r="Z12" s="12">
        <f t="shared" ref="Z12:Z29" si="3">IF(T12=0,0,X12/T12)</f>
        <v>-0.56775092014931217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-295.67</f>
        <v>-295.67</v>
      </c>
      <c r="E13" s="2"/>
      <c r="F13" s="23"/>
      <c r="G13" s="2"/>
      <c r="H13" s="2">
        <v>66019</v>
      </c>
      <c r="I13" s="2"/>
      <c r="J13" s="23"/>
      <c r="K13" s="2"/>
      <c r="L13" s="2">
        <f t="shared" si="0"/>
        <v>-66314.67</v>
      </c>
      <c r="M13" s="2"/>
      <c r="N13" s="23">
        <f t="shared" si="1"/>
        <v>-1.0044785592026537</v>
      </c>
      <c r="O13" s="11"/>
      <c r="P13" s="2">
        <f>-646</f>
        <v>-646</v>
      </c>
      <c r="Q13" s="2"/>
      <c r="R13" s="23"/>
      <c r="S13" s="2"/>
      <c r="T13" s="2">
        <v>114927</v>
      </c>
      <c r="U13" s="2"/>
      <c r="V13" s="23"/>
      <c r="W13" s="2"/>
      <c r="X13" s="2">
        <f t="shared" si="2"/>
        <v>-115573</v>
      </c>
      <c r="Y13" s="2"/>
      <c r="Z13" s="23">
        <f t="shared" si="3"/>
        <v>-1.0056209593916139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3"/>
      <c r="G14" s="2"/>
      <c r="H14" s="2"/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>--14.57</f>
        <v>14.57</v>
      </c>
      <c r="Q14" s="2"/>
      <c r="R14" s="23"/>
      <c r="S14" s="2"/>
      <c r="T14" s="2"/>
      <c r="U14" s="2"/>
      <c r="V14" s="23"/>
      <c r="W14" s="2"/>
      <c r="X14" s="2">
        <f t="shared" si="2"/>
        <v>14.57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--8.99</f>
        <v>8.99</v>
      </c>
      <c r="E15" s="2"/>
      <c r="F15" s="23"/>
      <c r="G15" s="2"/>
      <c r="H15" s="2"/>
      <c r="I15" s="2"/>
      <c r="J15" s="23"/>
      <c r="K15" s="2"/>
      <c r="L15" s="2">
        <f t="shared" si="0"/>
        <v>8.99</v>
      </c>
      <c r="M15" s="2"/>
      <c r="N15" s="23">
        <f t="shared" si="1"/>
        <v>0</v>
      </c>
      <c r="O15" s="11"/>
      <c r="P15" s="2">
        <f>--8.99</f>
        <v>8.99</v>
      </c>
      <c r="Q15" s="2"/>
      <c r="R15" s="23"/>
      <c r="S15" s="2"/>
      <c r="T15" s="2"/>
      <c r="U15" s="2"/>
      <c r="V15" s="23"/>
      <c r="W15" s="2"/>
      <c r="X15" s="2">
        <f t="shared" si="2"/>
        <v>8.99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--19174.41</f>
        <v>19174.41</v>
      </c>
      <c r="E16" s="2"/>
      <c r="F16" s="23"/>
      <c r="G16" s="2"/>
      <c r="H16" s="2"/>
      <c r="I16" s="2"/>
      <c r="J16" s="23"/>
      <c r="K16" s="2"/>
      <c r="L16" s="2">
        <f t="shared" si="0"/>
        <v>19174.41</v>
      </c>
      <c r="M16" s="2"/>
      <c r="N16" s="23">
        <f t="shared" si="1"/>
        <v>0</v>
      </c>
      <c r="O16" s="11"/>
      <c r="P16" s="2">
        <f>--41086.07</f>
        <v>41086.07</v>
      </c>
      <c r="Q16" s="2"/>
      <c r="R16" s="23"/>
      <c r="S16" s="2"/>
      <c r="T16" s="2"/>
      <c r="U16" s="2"/>
      <c r="V16" s="23"/>
      <c r="W16" s="2"/>
      <c r="X16" s="2">
        <f t="shared" si="2"/>
        <v>41086.07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"4041", " - ", "TAXABLE SALES-LOGO GIFTS")</f>
        <v xml:space="preserve">          4041 - TAXABLE SALES-LOGO GIFTS</v>
      </c>
      <c r="C17" s="11"/>
      <c r="D17" s="2">
        <f>--2843.88</f>
        <v>2843.88</v>
      </c>
      <c r="E17" s="2"/>
      <c r="F17" s="23"/>
      <c r="G17" s="2"/>
      <c r="H17" s="2"/>
      <c r="I17" s="2"/>
      <c r="J17" s="23"/>
      <c r="K17" s="2"/>
      <c r="L17" s="2">
        <f t="shared" si="0"/>
        <v>2843.88</v>
      </c>
      <c r="M17" s="2"/>
      <c r="N17" s="23">
        <f t="shared" si="1"/>
        <v>0</v>
      </c>
      <c r="O17" s="11"/>
      <c r="P17" s="2">
        <f>--7029.35</f>
        <v>7029.35</v>
      </c>
      <c r="Q17" s="2"/>
      <c r="R17" s="23"/>
      <c r="S17" s="2"/>
      <c r="T17" s="2"/>
      <c r="U17" s="2"/>
      <c r="V17" s="23"/>
      <c r="W17" s="2"/>
      <c r="X17" s="2">
        <f t="shared" si="2"/>
        <v>7029.35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--1249.5</f>
        <v>1249.5</v>
      </c>
      <c r="E18" s="2"/>
      <c r="F18" s="23"/>
      <c r="G18" s="2"/>
      <c r="H18" s="2"/>
      <c r="I18" s="2"/>
      <c r="J18" s="23"/>
      <c r="K18" s="2"/>
      <c r="L18" s="2">
        <f t="shared" si="0"/>
        <v>1249.5</v>
      </c>
      <c r="M18" s="2"/>
      <c r="N18" s="23">
        <f t="shared" si="1"/>
        <v>0</v>
      </c>
      <c r="O18" s="11"/>
      <c r="P18" s="2">
        <f>--2848.83</f>
        <v>2848.83</v>
      </c>
      <c r="Q18" s="2"/>
      <c r="R18" s="23"/>
      <c r="S18" s="2"/>
      <c r="T18" s="2"/>
      <c r="U18" s="2"/>
      <c r="V18" s="23"/>
      <c r="W18" s="2"/>
      <c r="X18" s="2">
        <f t="shared" si="2"/>
        <v>2848.83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"4043", " - ", "TAXABLE SALES-CARDS")</f>
        <v xml:space="preserve">          4043 - TAXABLE SALES-CARDS</v>
      </c>
      <c r="C19" s="11"/>
      <c r="D19" s="2">
        <f>--349.65</f>
        <v>349.65</v>
      </c>
      <c r="E19" s="2"/>
      <c r="F19" s="23"/>
      <c r="G19" s="2"/>
      <c r="H19" s="2"/>
      <c r="I19" s="2"/>
      <c r="J19" s="23"/>
      <c r="K19" s="2"/>
      <c r="L19" s="2">
        <f t="shared" si="0"/>
        <v>349.65</v>
      </c>
      <c r="M19" s="2"/>
      <c r="N19" s="23">
        <f t="shared" si="1"/>
        <v>0</v>
      </c>
      <c r="O19" s="11"/>
      <c r="P19" s="2">
        <f>--379.64</f>
        <v>379.64</v>
      </c>
      <c r="Q19" s="2"/>
      <c r="R19" s="23"/>
      <c r="S19" s="2"/>
      <c r="T19" s="2"/>
      <c r="U19" s="2"/>
      <c r="V19" s="23"/>
      <c r="W19" s="2"/>
      <c r="X19" s="2">
        <f t="shared" si="2"/>
        <v>379.64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"4044", " - ", "TAXABLE SALES-ACCESSORIES")</f>
        <v xml:space="preserve">          4044 - TAXABLE SALES-ACCESSORIES</v>
      </c>
      <c r="C20" s="11"/>
      <c r="D20" s="2">
        <f>--194.6</f>
        <v>194.6</v>
      </c>
      <c r="E20" s="2"/>
      <c r="F20" s="23"/>
      <c r="G20" s="2"/>
      <c r="H20" s="2"/>
      <c r="I20" s="2"/>
      <c r="J20" s="23"/>
      <c r="K20" s="2"/>
      <c r="L20" s="2">
        <f t="shared" si="0"/>
        <v>194.6</v>
      </c>
      <c r="M20" s="2"/>
      <c r="N20" s="23">
        <f t="shared" si="1"/>
        <v>0</v>
      </c>
      <c r="O20" s="11"/>
      <c r="P20" s="2">
        <f>--492.08</f>
        <v>492.08</v>
      </c>
      <c r="Q20" s="2"/>
      <c r="R20" s="23"/>
      <c r="S20" s="2"/>
      <c r="T20" s="2"/>
      <c r="U20" s="2"/>
      <c r="V20" s="23"/>
      <c r="W20" s="2"/>
      <c r="X20" s="2">
        <f t="shared" si="2"/>
        <v>492.08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>--9</f>
        <v>9</v>
      </c>
      <c r="E21" s="2"/>
      <c r="F21" s="23"/>
      <c r="G21" s="2"/>
      <c r="H21" s="2"/>
      <c r="I21" s="2"/>
      <c r="J21" s="23"/>
      <c r="K21" s="2"/>
      <c r="L21" s="2">
        <f t="shared" si="0"/>
        <v>9</v>
      </c>
      <c r="M21" s="2"/>
      <c r="N21" s="23">
        <f t="shared" si="1"/>
        <v>0</v>
      </c>
      <c r="O21" s="11"/>
      <c r="P21" s="2">
        <f>--10.5</f>
        <v>10.5</v>
      </c>
      <c r="Q21" s="2"/>
      <c r="R21" s="23"/>
      <c r="S21" s="2"/>
      <c r="T21" s="2"/>
      <c r="U21" s="2"/>
      <c r="V21" s="23"/>
      <c r="W21" s="2"/>
      <c r="X21" s="2">
        <f t="shared" si="2"/>
        <v>10.5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"4137", " - ", "NON-TAXABLE SALES-WATER")</f>
        <v xml:space="preserve">          4137 - NON-TAXABLE SALES-WATER</v>
      </c>
      <c r="C22" s="11"/>
      <c r="D22" s="2">
        <f>0</f>
        <v>0</v>
      </c>
      <c r="E22" s="2"/>
      <c r="F22" s="23"/>
      <c r="G22" s="2"/>
      <c r="H22" s="2"/>
      <c r="I22" s="2"/>
      <c r="J22" s="23"/>
      <c r="K22" s="2"/>
      <c r="L22" s="2">
        <f t="shared" si="0"/>
        <v>0</v>
      </c>
      <c r="M22" s="2"/>
      <c r="N22" s="23">
        <f t="shared" si="1"/>
        <v>0</v>
      </c>
      <c r="O22" s="11"/>
      <c r="P22" s="2">
        <f>--9</f>
        <v>9</v>
      </c>
      <c r="Q22" s="2"/>
      <c r="R22" s="23"/>
      <c r="S22" s="2"/>
      <c r="T22" s="2"/>
      <c r="U22" s="2"/>
      <c r="V22" s="23"/>
      <c r="W22" s="2"/>
      <c r="X22" s="2">
        <f t="shared" si="2"/>
        <v>9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"4140", " - ", "NON-TAXABLE SALES-LOGO CLOTHIN")</f>
        <v xml:space="preserve">          4140 - NON-TAXABLE SALES-LOGO CLOTHIN</v>
      </c>
      <c r="C23" s="11"/>
      <c r="D23" s="2">
        <f>--14.98</f>
        <v>14.98</v>
      </c>
      <c r="E23" s="2"/>
      <c r="F23" s="23"/>
      <c r="G23" s="2"/>
      <c r="H23" s="2"/>
      <c r="I23" s="2"/>
      <c r="J23" s="23"/>
      <c r="K23" s="2"/>
      <c r="L23" s="2">
        <f t="shared" si="0"/>
        <v>14.98</v>
      </c>
      <c r="M23" s="2"/>
      <c r="N23" s="23">
        <f t="shared" si="1"/>
        <v>0</v>
      </c>
      <c r="O23" s="11"/>
      <c r="P23" s="2">
        <f>--83.44</f>
        <v>83.44</v>
      </c>
      <c r="Q23" s="2"/>
      <c r="R23" s="23"/>
      <c r="S23" s="2"/>
      <c r="T23" s="2"/>
      <c r="U23" s="2"/>
      <c r="V23" s="23"/>
      <c r="W23" s="2"/>
      <c r="X23" s="2">
        <f t="shared" si="2"/>
        <v>83.44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 t="shared" ref="D24:D25" si="4">0</f>
        <v>0</v>
      </c>
      <c r="E24" s="2"/>
      <c r="F24" s="23"/>
      <c r="G24" s="2"/>
      <c r="H24" s="2"/>
      <c r="I24" s="2"/>
      <c r="J24" s="23"/>
      <c r="K24" s="2"/>
      <c r="L24" s="2">
        <f t="shared" si="0"/>
        <v>0</v>
      </c>
      <c r="M24" s="2"/>
      <c r="N24" s="23">
        <f t="shared" si="1"/>
        <v>0</v>
      </c>
      <c r="O24" s="11"/>
      <c r="P24" s="2">
        <f>--7</f>
        <v>7</v>
      </c>
      <c r="Q24" s="2"/>
      <c r="R24" s="23"/>
      <c r="S24" s="2"/>
      <c r="T24" s="2"/>
      <c r="U24" s="2"/>
      <c r="V24" s="23"/>
      <c r="W24" s="2"/>
      <c r="X24" s="2">
        <f t="shared" si="2"/>
        <v>7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"4227", " - ", "SALES RETURN TAXABLE-SCHOOL SU")</f>
        <v xml:space="preserve">          4227 - SALES RETURN TAXABLE-SCHOOL SU</v>
      </c>
      <c r="C25" s="11"/>
      <c r="D25" s="2">
        <f t="shared" si="4"/>
        <v>0</v>
      </c>
      <c r="E25" s="2"/>
      <c r="F25" s="23"/>
      <c r="G25" s="2"/>
      <c r="H25" s="2"/>
      <c r="I25" s="2"/>
      <c r="J25" s="23"/>
      <c r="K25" s="2"/>
      <c r="L25" s="2">
        <f t="shared" si="0"/>
        <v>0</v>
      </c>
      <c r="M25" s="2"/>
      <c r="N25" s="23">
        <f t="shared" si="1"/>
        <v>0</v>
      </c>
      <c r="O25" s="11"/>
      <c r="P25" s="2">
        <f>-30</f>
        <v>-30</v>
      </c>
      <c r="Q25" s="2"/>
      <c r="R25" s="23"/>
      <c r="S25" s="2"/>
      <c r="T25" s="2"/>
      <c r="U25" s="2"/>
      <c r="V25" s="23"/>
      <c r="W25" s="2"/>
      <c r="X25" s="2">
        <f t="shared" si="2"/>
        <v>-30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"4240", " - ", "SALES RETURN TAXABLE-LOGO CLOT")</f>
        <v xml:space="preserve">          4240 - SALES RETURN TAXABLE-LOGO CLOT</v>
      </c>
      <c r="C26" s="11"/>
      <c r="D26" s="2">
        <f>-700.45</f>
        <v>-700.45</v>
      </c>
      <c r="E26" s="2"/>
      <c r="F26" s="23"/>
      <c r="G26" s="2"/>
      <c r="H26" s="2"/>
      <c r="I26" s="2"/>
      <c r="J26" s="23"/>
      <c r="K26" s="2"/>
      <c r="L26" s="2">
        <f t="shared" si="0"/>
        <v>-700.45</v>
      </c>
      <c r="M26" s="2"/>
      <c r="N26" s="23">
        <f t="shared" si="1"/>
        <v>0</v>
      </c>
      <c r="O26" s="11"/>
      <c r="P26" s="2">
        <f>-1450.1</f>
        <v>-1450.1</v>
      </c>
      <c r="Q26" s="2"/>
      <c r="R26" s="23"/>
      <c r="S26" s="2"/>
      <c r="T26" s="2"/>
      <c r="U26" s="2"/>
      <c r="V26" s="23"/>
      <c r="W26" s="2"/>
      <c r="X26" s="2">
        <f t="shared" si="2"/>
        <v>-1450.1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"4241", " - ", "SALES RETURN TAXABLE-LOGO GIFT")</f>
        <v xml:space="preserve">          4241 - SALES RETURN TAXABLE-LOGO GIFT</v>
      </c>
      <c r="C27" s="11"/>
      <c r="D27" s="2">
        <f>-28.85</f>
        <v>-28.85</v>
      </c>
      <c r="E27" s="2"/>
      <c r="F27" s="23"/>
      <c r="G27" s="2"/>
      <c r="H27" s="2"/>
      <c r="I27" s="2"/>
      <c r="J27" s="23"/>
      <c r="K27" s="2"/>
      <c r="L27" s="2">
        <f t="shared" si="0"/>
        <v>-28.85</v>
      </c>
      <c r="M27" s="2"/>
      <c r="N27" s="23">
        <f t="shared" si="1"/>
        <v>0</v>
      </c>
      <c r="O27" s="11"/>
      <c r="P27" s="2">
        <f>-62.7</f>
        <v>-62.7</v>
      </c>
      <c r="Q27" s="2"/>
      <c r="R27" s="23"/>
      <c r="S27" s="2"/>
      <c r="T27" s="2"/>
      <c r="U27" s="2"/>
      <c r="V27" s="23"/>
      <c r="W27" s="2"/>
      <c r="X27" s="2">
        <f t="shared" si="2"/>
        <v>-62.7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"4242", " - ", "SALES RETURN TAXABLE-EVERYDAY")</f>
        <v xml:space="preserve">          4242 - SALES RETURN TAXABLE-EVERYDAY</v>
      </c>
      <c r="C28" s="11"/>
      <c r="D28" s="2">
        <f>-22.72</f>
        <v>-22.72</v>
      </c>
      <c r="E28" s="2"/>
      <c r="F28" s="23"/>
      <c r="G28" s="2"/>
      <c r="H28" s="2"/>
      <c r="I28" s="2"/>
      <c r="J28" s="23"/>
      <c r="K28" s="2"/>
      <c r="L28" s="2">
        <f t="shared" si="0"/>
        <v>-22.72</v>
      </c>
      <c r="M28" s="2"/>
      <c r="N28" s="23">
        <f t="shared" si="1"/>
        <v>0</v>
      </c>
      <c r="O28" s="11"/>
      <c r="P28" s="2">
        <f>-96.58</f>
        <v>-96.58</v>
      </c>
      <c r="Q28" s="2"/>
      <c r="R28" s="23"/>
      <c r="S28" s="2"/>
      <c r="T28" s="2"/>
      <c r="U28" s="2"/>
      <c r="V28" s="23"/>
      <c r="W28" s="2"/>
      <c r="X28" s="2">
        <f t="shared" si="2"/>
        <v>-96.58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0</f>
        <v>0</v>
      </c>
      <c r="E29" s="2"/>
      <c r="F29" s="23"/>
      <c r="G29" s="2"/>
      <c r="H29" s="2"/>
      <c r="I29" s="2"/>
      <c r="J29" s="23"/>
      <c r="K29" s="2"/>
      <c r="L29" s="2">
        <f t="shared" si="0"/>
        <v>0</v>
      </c>
      <c r="M29" s="2"/>
      <c r="N29" s="23">
        <f t="shared" si="1"/>
        <v>0</v>
      </c>
      <c r="O29" s="11"/>
      <c r="P29" s="2">
        <f>-7</f>
        <v>-7</v>
      </c>
      <c r="Q29" s="2"/>
      <c r="R29" s="23"/>
      <c r="S29" s="2"/>
      <c r="T29" s="2"/>
      <c r="U29" s="2"/>
      <c r="V29" s="23"/>
      <c r="W29" s="2"/>
      <c r="X29" s="2">
        <f t="shared" si="2"/>
        <v>-7</v>
      </c>
      <c r="Y29" s="2"/>
      <c r="Z29" s="23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collapsed="1" x14ac:dyDescent="0.25">
      <c r="A31" s="10"/>
      <c r="B31" s="25" t="s">
        <v>8</v>
      </c>
      <c r="C31" s="10"/>
      <c r="D31" s="4">
        <f>SUM(OSRRefD16x_0)</f>
        <v>8270</v>
      </c>
      <c r="E31" s="4"/>
      <c r="F31" s="12">
        <f t="shared" ref="F31:F33" si="5">IF(D$12=0,0,D31/D$12)</f>
        <v>0.36276193868402073</v>
      </c>
      <c r="G31" s="4"/>
      <c r="H31" s="4">
        <f>SUM(OSRRefH16x_0)</f>
        <v>28388</v>
      </c>
      <c r="I31" s="4"/>
      <c r="J31" s="12">
        <f t="shared" ref="J31:J33" si="6">IF(H$12=0,0,H31/H$12)</f>
        <v>0.42999742498371679</v>
      </c>
      <c r="K31" s="4"/>
      <c r="L31" s="4">
        <f t="shared" ref="L31:L33" si="7">+D31-H31</f>
        <v>-20118</v>
      </c>
      <c r="M31" s="4"/>
      <c r="N31" s="12">
        <f t="shared" ref="N31:N33" si="8">IF(H31=0,0,L31/H31)</f>
        <v>-0.70867972382696909</v>
      </c>
      <c r="O31" s="10"/>
      <c r="P31" s="4">
        <f>SUM(OSRRefP16x_0)</f>
        <v>18640</v>
      </c>
      <c r="Q31" s="4"/>
      <c r="R31" s="12">
        <f t="shared" ref="R31:R33" si="9">IF(P$12=0,0,P31/P$12)</f>
        <v>0.37522326690230845</v>
      </c>
      <c r="S31" s="4"/>
      <c r="T31" s="4">
        <f>SUM(OSRRefT16x_0)</f>
        <v>49418</v>
      </c>
      <c r="U31" s="4"/>
      <c r="V31" s="12">
        <f t="shared" ref="V31:V33" si="10">IF(T$12=0,0,T31/T$12)</f>
        <v>0.42999469228292742</v>
      </c>
      <c r="W31" s="4"/>
      <c r="X31" s="4">
        <f t="shared" ref="X31:X33" si="11">+P31-T31</f>
        <v>-30778</v>
      </c>
      <c r="Y31" s="4"/>
      <c r="Z31" s="12">
        <f t="shared" ref="Z31:Z33" si="12">IF(T31=0,0,X31/T31)</f>
        <v>-0.62280950261038492</v>
      </c>
    </row>
    <row r="32" spans="1:26" s="24" customFormat="1" hidden="1" outlineLevel="1" x14ac:dyDescent="0.25">
      <c r="A32" s="51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23">
        <f t="shared" si="5"/>
        <v>0</v>
      </c>
      <c r="G32" s="2"/>
      <c r="H32" s="2">
        <v>28388</v>
      </c>
      <c r="I32" s="2"/>
      <c r="J32" s="23">
        <f t="shared" si="6"/>
        <v>0.42999742498371679</v>
      </c>
      <c r="K32" s="2"/>
      <c r="L32" s="2">
        <f t="shared" si="7"/>
        <v>-28388</v>
      </c>
      <c r="M32" s="2"/>
      <c r="N32" s="23">
        <f t="shared" si="8"/>
        <v>-1</v>
      </c>
      <c r="O32" s="11"/>
      <c r="P32" s="2"/>
      <c r="Q32" s="2"/>
      <c r="R32" s="23">
        <f t="shared" si="9"/>
        <v>0</v>
      </c>
      <c r="S32" s="2"/>
      <c r="T32" s="2">
        <v>49418</v>
      </c>
      <c r="U32" s="2"/>
      <c r="V32" s="23">
        <f t="shared" si="10"/>
        <v>0.42999469228292742</v>
      </c>
      <c r="W32" s="2"/>
      <c r="X32" s="2">
        <f t="shared" si="11"/>
        <v>-49418</v>
      </c>
      <c r="Y32" s="2"/>
      <c r="Z32" s="23">
        <f t="shared" si="12"/>
        <v>-1</v>
      </c>
    </row>
    <row r="33" spans="1:26" s="24" customFormat="1" hidden="1" outlineLevel="1" x14ac:dyDescent="0.25">
      <c r="A33" s="51"/>
      <c r="B33" s="11" t="str">
        <f>CONCATENATE("          ", "5300", " - ", "COG$ OFFSET")</f>
        <v xml:space="preserve">          5300 - COG$ OFFSET</v>
      </c>
      <c r="C33" s="11"/>
      <c r="D33" s="2">
        <v>8270</v>
      </c>
      <c r="E33" s="2"/>
      <c r="F33" s="23">
        <f t="shared" si="5"/>
        <v>0.36276193868402073</v>
      </c>
      <c r="G33" s="2"/>
      <c r="H33" s="2"/>
      <c r="I33" s="2"/>
      <c r="J33" s="23">
        <f t="shared" si="6"/>
        <v>0</v>
      </c>
      <c r="K33" s="2"/>
      <c r="L33" s="2">
        <f t="shared" si="7"/>
        <v>8270</v>
      </c>
      <c r="M33" s="2"/>
      <c r="N33" s="23">
        <f t="shared" si="8"/>
        <v>0</v>
      </c>
      <c r="O33" s="11"/>
      <c r="P33" s="2">
        <v>18640</v>
      </c>
      <c r="Q33" s="2"/>
      <c r="R33" s="23">
        <f t="shared" si="9"/>
        <v>0.37522326690230845</v>
      </c>
      <c r="S33" s="2"/>
      <c r="T33" s="2"/>
      <c r="U33" s="2"/>
      <c r="V33" s="23">
        <f t="shared" si="10"/>
        <v>0</v>
      </c>
      <c r="W33" s="2"/>
      <c r="X33" s="2">
        <f t="shared" si="11"/>
        <v>18640</v>
      </c>
      <c r="Y33" s="2"/>
      <c r="Z33" s="23">
        <f t="shared" si="12"/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2" customFormat="1" x14ac:dyDescent="0.25">
      <c r="A35" s="10"/>
      <c r="B35" s="26" t="s">
        <v>6</v>
      </c>
      <c r="C35" s="26"/>
      <c r="D35" s="21">
        <f>D12-D31</f>
        <v>14527.32</v>
      </c>
      <c r="E35" s="13"/>
      <c r="F35" s="20">
        <f>IF(D$12=0,0,D35/D$12)</f>
        <v>0.63723806131597927</v>
      </c>
      <c r="G35" s="13"/>
      <c r="H35" s="21">
        <f>H12-H31</f>
        <v>37631</v>
      </c>
      <c r="I35" s="13"/>
      <c r="J35" s="20">
        <f>IF(H$12=0,0,H35/H$12)</f>
        <v>0.57000257501628315</v>
      </c>
      <c r="K35" s="16"/>
      <c r="L35" s="21">
        <f>+D35-H35</f>
        <v>-23103.68</v>
      </c>
      <c r="M35" s="16"/>
      <c r="N35" s="20">
        <f>IF(H35=0,0,L35/H35)</f>
        <v>-0.6139533894927055</v>
      </c>
      <c r="O35" s="25"/>
      <c r="P35" s="21">
        <f>P12-P31</f>
        <v>31037.090000000004</v>
      </c>
      <c r="Q35" s="13"/>
      <c r="R35" s="20">
        <f>IF(P$12=0,0,P35/P$12)</f>
        <v>0.62477673309769155</v>
      </c>
      <c r="S35" s="13"/>
      <c r="T35" s="21">
        <f>T12-T31</f>
        <v>65509</v>
      </c>
      <c r="U35" s="13"/>
      <c r="V35" s="20">
        <f>IF(T$12=0,0,T35/T$12)</f>
        <v>0.57000530771707258</v>
      </c>
      <c r="W35" s="16"/>
      <c r="X35" s="21">
        <f>+P35-T35</f>
        <v>-34471.909999999996</v>
      </c>
      <c r="Y35" s="16"/>
      <c r="Z35" s="20">
        <f>IF(T35=0,0,X35/T35)</f>
        <v>-0.52621639774687445</v>
      </c>
    </row>
    <row r="36" spans="1:26" x14ac:dyDescent="0.25">
      <c r="A36" s="9"/>
      <c r="B36" s="10"/>
      <c r="C36" s="9"/>
      <c r="D36" s="1"/>
      <c r="E36" s="1"/>
      <c r="F36" s="5"/>
      <c r="G36" s="1"/>
      <c r="H36" s="1"/>
      <c r="I36" s="1"/>
      <c r="J36" s="5"/>
      <c r="K36" s="1"/>
      <c r="L36" s="1"/>
      <c r="M36" s="1"/>
      <c r="N36" s="5"/>
      <c r="O36" s="36"/>
      <c r="P36" s="1"/>
      <c r="Q36" s="1"/>
      <c r="R36" s="5"/>
      <c r="S36" s="1"/>
      <c r="T36" s="1"/>
      <c r="U36" s="1"/>
      <c r="V36" s="5"/>
      <c r="W36" s="1"/>
      <c r="X36" s="1"/>
      <c r="Y36" s="1"/>
      <c r="Z36" s="5"/>
    </row>
    <row r="37" spans="1:26" s="22" customFormat="1" x14ac:dyDescent="0.25">
      <c r="A37" s="10"/>
      <c r="B37" s="25" t="s">
        <v>9</v>
      </c>
      <c r="C37" s="10"/>
      <c r="D37" s="19">
        <f>SUM(OSRRefD22x_0)</f>
        <v>18364.87</v>
      </c>
      <c r="E37" s="19"/>
      <c r="F37" s="30">
        <f t="shared" ref="F37:F47" si="13">IF(D$12=0,0,D37/D$12)</f>
        <v>0.8055714443627584</v>
      </c>
      <c r="G37" s="19"/>
      <c r="H37" s="19">
        <f>SUM(OSRRefH22x_0)</f>
        <v>26427.020653846153</v>
      </c>
      <c r="I37" s="19"/>
      <c r="J37" s="30">
        <f t="shared" ref="J37:J47" si="14">IF(H$12=0,0,H37/H$12)</f>
        <v>0.40029416764637687</v>
      </c>
      <c r="K37" s="4"/>
      <c r="L37" s="19">
        <f t="shared" ref="L37:L47" si="15">+D37-H37</f>
        <v>-8062.1506538461545</v>
      </c>
      <c r="M37" s="4"/>
      <c r="N37" s="30">
        <f t="shared" ref="N37:N47" si="16">IF(H37=0,0,L37/H37)</f>
        <v>-0.30507225008252303</v>
      </c>
      <c r="O37" s="10"/>
      <c r="P37" s="19">
        <f>SUM(OSRRefP22x_0)</f>
        <v>41436.269999999997</v>
      </c>
      <c r="Q37" s="19"/>
      <c r="R37" s="30">
        <f t="shared" ref="R37:R47" si="17">IF(P$12=0,0,P37/P$12)</f>
        <v>0.83411226382221648</v>
      </c>
      <c r="S37" s="19"/>
      <c r="T37" s="19">
        <f>SUM(OSRRefT22x_0)</f>
        <v>54929.046471153837</v>
      </c>
      <c r="U37" s="19"/>
      <c r="V37" s="30">
        <f t="shared" ref="V37:V47" si="18">IF(T$12=0,0,T37/T$12)</f>
        <v>0.47794727497588763</v>
      </c>
      <c r="W37" s="4"/>
      <c r="X37" s="19">
        <f t="shared" ref="X37:X47" si="19">+P37-T37</f>
        <v>-13492.77647115384</v>
      </c>
      <c r="Y37" s="4"/>
      <c r="Z37" s="30">
        <f t="shared" ref="Z37:Z47" si="20">IF(T37=0,0,X37/T37)</f>
        <v>-0.24564010005598066</v>
      </c>
    </row>
    <row r="38" spans="1:26" s="29" customFormat="1" outlineLevel="1" collapsed="1" x14ac:dyDescent="0.25">
      <c r="A38" s="28"/>
      <c r="B38" s="14" t="str">
        <f>CONCATENATE("     ","*Benefits                                         ")</f>
        <v xml:space="preserve">     *Benefits                                         </v>
      </c>
      <c r="C38" s="14"/>
      <c r="D38" s="1">
        <f>SUM(OSRRefD22_0x_0)</f>
        <v>5610.43</v>
      </c>
      <c r="E38" s="1"/>
      <c r="F38" s="5">
        <f t="shared" si="13"/>
        <v>0.24610041882115968</v>
      </c>
      <c r="G38" s="1"/>
      <c r="H38" s="1">
        <f>SUM(OSRRefH22_0x_0)</f>
        <v>2528.9437307692324</v>
      </c>
      <c r="I38" s="1"/>
      <c r="J38" s="5">
        <f t="shared" si="14"/>
        <v>3.8306301682382832E-2</v>
      </c>
      <c r="K38" s="1"/>
      <c r="L38" s="1">
        <f t="shared" si="15"/>
        <v>3081.4862692307679</v>
      </c>
      <c r="M38" s="1"/>
      <c r="N38" s="5">
        <f t="shared" si="16"/>
        <v>1.2184874782854374</v>
      </c>
      <c r="O38" s="14"/>
      <c r="P38" s="1">
        <f>SUM(OSRRefP22_0x_0)</f>
        <v>9793.15</v>
      </c>
      <c r="Q38" s="1"/>
      <c r="R38" s="5">
        <f t="shared" si="17"/>
        <v>0.19713614464937457</v>
      </c>
      <c r="S38" s="1"/>
      <c r="T38" s="1">
        <f>SUM(OSRRefT22_0x_0)</f>
        <v>5398.8733942307708</v>
      </c>
      <c r="U38" s="1"/>
      <c r="V38" s="5">
        <f t="shared" si="18"/>
        <v>4.6976545061045455E-2</v>
      </c>
      <c r="W38" s="1"/>
      <c r="X38" s="1">
        <f t="shared" si="19"/>
        <v>4394.2766057692288</v>
      </c>
      <c r="Y38" s="1"/>
      <c r="Z38" s="5">
        <f t="shared" si="20"/>
        <v>0.81392473668023912</v>
      </c>
    </row>
    <row r="39" spans="1:26" s="24" customFormat="1" hidden="1" outlineLevel="2" x14ac:dyDescent="0.25">
      <c r="A39" s="27"/>
      <c r="B39" s="11" t="str">
        <f>CONCATENATE("          ", "6111", " - ", "F.I.C.A.")</f>
        <v xml:space="preserve">          6111 - F.I.C.A.</v>
      </c>
      <c r="C39" s="11"/>
      <c r="D39" s="6">
        <v>868.48</v>
      </c>
      <c r="E39" s="2"/>
      <c r="F39" s="7">
        <f t="shared" si="13"/>
        <v>3.8095705986493152E-2</v>
      </c>
      <c r="G39" s="2"/>
      <c r="H39" s="6">
        <v>676.70180769230797</v>
      </c>
      <c r="I39" s="2"/>
      <c r="J39" s="7">
        <f t="shared" si="14"/>
        <v>1.0250106903956557E-2</v>
      </c>
      <c r="K39" s="2"/>
      <c r="L39" s="6">
        <f t="shared" si="15"/>
        <v>191.77819230769205</v>
      </c>
      <c r="M39" s="2"/>
      <c r="N39" s="7">
        <f t="shared" si="16"/>
        <v>0.2834013299915587</v>
      </c>
      <c r="O39" s="11"/>
      <c r="P39" s="6">
        <v>1540.63</v>
      </c>
      <c r="Q39" s="2"/>
      <c r="R39" s="7">
        <f t="shared" si="17"/>
        <v>3.1012887429597829E-2</v>
      </c>
      <c r="S39" s="2"/>
      <c r="T39" s="6">
        <v>1522.5790673076931</v>
      </c>
      <c r="U39" s="2"/>
      <c r="V39" s="7">
        <f t="shared" si="18"/>
        <v>1.3248227721142055E-2</v>
      </c>
      <c r="W39" s="2"/>
      <c r="X39" s="6">
        <f t="shared" si="19"/>
        <v>18.050932692307015</v>
      </c>
      <c r="Y39" s="2"/>
      <c r="Z39" s="7">
        <f t="shared" si="20"/>
        <v>1.1855497740570972E-2</v>
      </c>
    </row>
    <row r="40" spans="1:26" s="24" customFormat="1" hidden="1" outlineLevel="2" x14ac:dyDescent="0.25">
      <c r="A40" s="27"/>
      <c r="B40" s="11" t="str">
        <f>CONCATENATE("          ", "6112", " - ", "COMPENSATION INSURANCE")</f>
        <v xml:space="preserve">          6112 - COMPENSATION INSURANCE</v>
      </c>
      <c r="C40" s="11"/>
      <c r="D40" s="6">
        <v>383.11</v>
      </c>
      <c r="E40" s="2"/>
      <c r="F40" s="7">
        <f t="shared" si="13"/>
        <v>1.6805045505348875E-2</v>
      </c>
      <c r="G40" s="2"/>
      <c r="H40" s="6">
        <v>163.58269230769201</v>
      </c>
      <c r="I40" s="2"/>
      <c r="J40" s="7">
        <f t="shared" si="14"/>
        <v>2.4778123314150775E-3</v>
      </c>
      <c r="K40" s="2"/>
      <c r="L40" s="6">
        <f t="shared" si="15"/>
        <v>219.527307692308</v>
      </c>
      <c r="M40" s="2"/>
      <c r="N40" s="7">
        <f t="shared" si="16"/>
        <v>1.3419959324265587</v>
      </c>
      <c r="O40" s="11"/>
      <c r="P40" s="6">
        <v>612.04</v>
      </c>
      <c r="Q40" s="2"/>
      <c r="R40" s="7">
        <f t="shared" si="17"/>
        <v>1.2320367396721505E-2</v>
      </c>
      <c r="S40" s="2"/>
      <c r="T40" s="6">
        <v>368.06105769230697</v>
      </c>
      <c r="U40" s="2"/>
      <c r="V40" s="7">
        <f t="shared" si="18"/>
        <v>3.2025638683016782E-3</v>
      </c>
      <c r="W40" s="2"/>
      <c r="X40" s="6">
        <f t="shared" si="19"/>
        <v>243.97894230769299</v>
      </c>
      <c r="Y40" s="2"/>
      <c r="Z40" s="7">
        <f t="shared" si="20"/>
        <v>0.66287627340259236</v>
      </c>
    </row>
    <row r="41" spans="1:26" s="24" customFormat="1" hidden="1" outlineLevel="2" x14ac:dyDescent="0.25">
      <c r="A41" s="27"/>
      <c r="B41" s="11" t="str">
        <f>CONCATENATE("          ", "6113", " - ", "GROUP INSURANCE")</f>
        <v xml:space="preserve">          6113 - GROUP INSURANCE</v>
      </c>
      <c r="C41" s="11"/>
      <c r="D41" s="6">
        <v>2714.98</v>
      </c>
      <c r="E41" s="2"/>
      <c r="F41" s="7">
        <f t="shared" si="13"/>
        <v>0.11909206871684917</v>
      </c>
      <c r="G41" s="2"/>
      <c r="H41" s="6">
        <v>990</v>
      </c>
      <c r="I41" s="2"/>
      <c r="J41" s="7">
        <f t="shared" si="14"/>
        <v>1.4995683060937003E-2</v>
      </c>
      <c r="K41" s="2"/>
      <c r="L41" s="6">
        <f t="shared" si="15"/>
        <v>1724.98</v>
      </c>
      <c r="M41" s="2"/>
      <c r="N41" s="7">
        <f t="shared" si="16"/>
        <v>1.7424040404040404</v>
      </c>
      <c r="O41" s="11"/>
      <c r="P41" s="6">
        <v>4727.45</v>
      </c>
      <c r="Q41" s="2"/>
      <c r="R41" s="7">
        <f t="shared" si="17"/>
        <v>9.5163585467667275E-2</v>
      </c>
      <c r="S41" s="2"/>
      <c r="T41" s="6">
        <v>1980</v>
      </c>
      <c r="U41" s="2"/>
      <c r="V41" s="7">
        <f t="shared" si="18"/>
        <v>1.7228327547051607E-2</v>
      </c>
      <c r="W41" s="2"/>
      <c r="X41" s="6">
        <f t="shared" si="19"/>
        <v>2747.45</v>
      </c>
      <c r="Y41" s="2"/>
      <c r="Z41" s="7">
        <f t="shared" si="20"/>
        <v>1.3876010101010101</v>
      </c>
    </row>
    <row r="42" spans="1:26" s="24" customFormat="1" hidden="1" outlineLevel="2" x14ac:dyDescent="0.25">
      <c r="A42" s="27"/>
      <c r="B42" s="11" t="str">
        <f>CONCATENATE("          ", "6114", " - ", "STATE UNEMPLOYMENT INSURANCE")</f>
        <v xml:space="preserve">          6114 - STATE UNEMPLOYMENT INSURANCE</v>
      </c>
      <c r="C42" s="11"/>
      <c r="D42" s="6">
        <v>36.020000000000003</v>
      </c>
      <c r="E42" s="2"/>
      <c r="F42" s="7">
        <f t="shared" si="13"/>
        <v>1.5800102819103299E-3</v>
      </c>
      <c r="G42" s="2"/>
      <c r="H42" s="6">
        <v>22.99</v>
      </c>
      <c r="I42" s="2"/>
      <c r="J42" s="7">
        <f t="shared" si="14"/>
        <v>3.4823308441509258E-4</v>
      </c>
      <c r="K42" s="2"/>
      <c r="L42" s="6">
        <f t="shared" si="15"/>
        <v>13.030000000000005</v>
      </c>
      <c r="M42" s="2"/>
      <c r="N42" s="7">
        <f t="shared" si="16"/>
        <v>0.56676816006959574</v>
      </c>
      <c r="O42" s="11"/>
      <c r="P42" s="6">
        <v>59.67</v>
      </c>
      <c r="Q42" s="2"/>
      <c r="R42" s="7">
        <f t="shared" si="17"/>
        <v>1.201157314166349E-3</v>
      </c>
      <c r="S42" s="2"/>
      <c r="T42" s="6">
        <v>51.727499999999999</v>
      </c>
      <c r="U42" s="2"/>
      <c r="V42" s="7">
        <f t="shared" si="18"/>
        <v>4.5009005716672323E-4</v>
      </c>
      <c r="W42" s="2"/>
      <c r="X42" s="6">
        <f t="shared" si="19"/>
        <v>7.9425000000000026</v>
      </c>
      <c r="Y42" s="2"/>
      <c r="Z42" s="7">
        <f t="shared" si="20"/>
        <v>0.15354501957372776</v>
      </c>
    </row>
    <row r="43" spans="1:26" s="24" customFormat="1" hidden="1" outlineLevel="2" x14ac:dyDescent="0.25">
      <c r="A43" s="27"/>
      <c r="B43" s="11" t="str">
        <f>CONCATENATE("          ", "6115", " - ", "P.E.R.S.")</f>
        <v xml:space="preserve">          6115 - P.E.R.S.</v>
      </c>
      <c r="C43" s="11"/>
      <c r="D43" s="6">
        <v>362.12</v>
      </c>
      <c r="E43" s="2"/>
      <c r="F43" s="7">
        <f t="shared" si="13"/>
        <v>1.5884323245013012E-2</v>
      </c>
      <c r="G43" s="2"/>
      <c r="H43" s="6">
        <v>201.43846153846201</v>
      </c>
      <c r="I43" s="2"/>
      <c r="J43" s="7">
        <f t="shared" si="14"/>
        <v>3.0512195207207321E-3</v>
      </c>
      <c r="K43" s="2"/>
      <c r="L43" s="6">
        <f t="shared" si="15"/>
        <v>160.681538461538</v>
      </c>
      <c r="M43" s="2"/>
      <c r="N43" s="7">
        <f t="shared" si="16"/>
        <v>0.79767059991598466</v>
      </c>
      <c r="O43" s="11"/>
      <c r="P43" s="6">
        <v>905.3</v>
      </c>
      <c r="Q43" s="2"/>
      <c r="R43" s="7">
        <f t="shared" si="17"/>
        <v>1.8223692249284325E-2</v>
      </c>
      <c r="S43" s="2"/>
      <c r="T43" s="6">
        <v>453.236538461539</v>
      </c>
      <c r="U43" s="2"/>
      <c r="V43" s="7">
        <f t="shared" si="18"/>
        <v>3.9436906772258827E-3</v>
      </c>
      <c r="W43" s="2"/>
      <c r="X43" s="6">
        <f t="shared" si="19"/>
        <v>452.06346153846096</v>
      </c>
      <c r="Y43" s="2"/>
      <c r="Z43" s="7">
        <f t="shared" si="20"/>
        <v>0.99741177768442957</v>
      </c>
    </row>
    <row r="44" spans="1:26" s="24" customFormat="1" hidden="1" outlineLevel="2" x14ac:dyDescent="0.25">
      <c r="A44" s="27"/>
      <c r="B44" s="11" t="str">
        <f>CONCATENATE("          ", "6116", " - ", "EDUCATIONAL BENEFITS")</f>
        <v xml:space="preserve">          6116 - EDUCATIONAL BENEFITS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/>
      <c r="Q44" s="2"/>
      <c r="R44" s="7">
        <f t="shared" si="17"/>
        <v>0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0</v>
      </c>
      <c r="Y44" s="2"/>
      <c r="Z44" s="7">
        <f t="shared" si="20"/>
        <v>0</v>
      </c>
    </row>
    <row r="45" spans="1:26" s="24" customFormat="1" hidden="1" outlineLevel="2" x14ac:dyDescent="0.25">
      <c r="A45" s="27"/>
      <c r="B45" s="11" t="str">
        <f>CONCATENATE("          ", "6118", " - ", "VACATION")</f>
        <v xml:space="preserve">          6118 - VACATION</v>
      </c>
      <c r="C45" s="11"/>
      <c r="D45" s="6">
        <v>498.76</v>
      </c>
      <c r="E45" s="2"/>
      <c r="F45" s="7">
        <f t="shared" si="13"/>
        <v>2.1878010222254194E-2</v>
      </c>
      <c r="G45" s="2"/>
      <c r="H45" s="6">
        <v>117.11538461538501</v>
      </c>
      <c r="I45" s="2"/>
      <c r="J45" s="7">
        <f t="shared" si="14"/>
        <v>1.7739648376283344E-3</v>
      </c>
      <c r="K45" s="2"/>
      <c r="L45" s="6">
        <f t="shared" si="15"/>
        <v>381.64461538461501</v>
      </c>
      <c r="M45" s="2"/>
      <c r="N45" s="7">
        <f t="shared" si="16"/>
        <v>3.2587060755336474</v>
      </c>
      <c r="O45" s="11"/>
      <c r="P45" s="6">
        <v>901.27</v>
      </c>
      <c r="Q45" s="2"/>
      <c r="R45" s="7">
        <f t="shared" si="17"/>
        <v>1.8142568334819933E-2</v>
      </c>
      <c r="S45" s="2"/>
      <c r="T45" s="6">
        <v>263.50961538461598</v>
      </c>
      <c r="U45" s="2"/>
      <c r="V45" s="7">
        <f t="shared" si="18"/>
        <v>2.2928434169917945E-3</v>
      </c>
      <c r="W45" s="2"/>
      <c r="X45" s="6">
        <f t="shared" si="19"/>
        <v>637.76038461538405</v>
      </c>
      <c r="Y45" s="2"/>
      <c r="Z45" s="7">
        <f t="shared" si="20"/>
        <v>2.4202546980477937</v>
      </c>
    </row>
    <row r="46" spans="1:26" s="24" customFormat="1" hidden="1" outlineLevel="2" x14ac:dyDescent="0.25">
      <c r="A46" s="27"/>
      <c r="B46" s="11" t="str">
        <f>CONCATENATE("          ", "6119", " - ", "SICK LEAVE")</f>
        <v xml:space="preserve">          6119 - SICK LEAVE</v>
      </c>
      <c r="C46" s="11"/>
      <c r="D46" s="6">
        <v>446.7</v>
      </c>
      <c r="E46" s="2"/>
      <c r="F46" s="7">
        <f t="shared" si="13"/>
        <v>1.9594408465556476E-2</v>
      </c>
      <c r="G46" s="2"/>
      <c r="H46" s="6">
        <v>182.11538461538501</v>
      </c>
      <c r="I46" s="2"/>
      <c r="J46" s="7">
        <f t="shared" si="14"/>
        <v>2.758529887083794E-3</v>
      </c>
      <c r="K46" s="2"/>
      <c r="L46" s="6">
        <f t="shared" si="15"/>
        <v>264.58461538461495</v>
      </c>
      <c r="M46" s="2"/>
      <c r="N46" s="7">
        <f t="shared" si="16"/>
        <v>1.4528405491024232</v>
      </c>
      <c r="O46" s="11"/>
      <c r="P46" s="6">
        <v>670.05</v>
      </c>
      <c r="Q46" s="2"/>
      <c r="R46" s="7">
        <f t="shared" si="17"/>
        <v>1.3488108904929815E-2</v>
      </c>
      <c r="S46" s="2"/>
      <c r="T46" s="6">
        <v>409.75961538461598</v>
      </c>
      <c r="U46" s="2"/>
      <c r="V46" s="7">
        <f t="shared" si="18"/>
        <v>3.5653903380808336E-3</v>
      </c>
      <c r="W46" s="2"/>
      <c r="X46" s="6">
        <f t="shared" si="19"/>
        <v>260.29038461538397</v>
      </c>
      <c r="Y46" s="2"/>
      <c r="Z46" s="7">
        <f t="shared" si="20"/>
        <v>0.63522703273494996</v>
      </c>
    </row>
    <row r="47" spans="1:26" s="24" customFormat="1" hidden="1" outlineLevel="2" x14ac:dyDescent="0.25">
      <c r="A47" s="27"/>
      <c r="B47" s="11" t="str">
        <f>CONCATENATE("          ", "6156", " - ", "EMPLOYEE MEALS")</f>
        <v xml:space="preserve">          6156 - EMPLOYEE MEALS</v>
      </c>
      <c r="C47" s="11"/>
      <c r="D47" s="6">
        <v>300.26</v>
      </c>
      <c r="E47" s="2"/>
      <c r="F47" s="7">
        <f t="shared" si="13"/>
        <v>1.317084639773447E-2</v>
      </c>
      <c r="G47" s="2"/>
      <c r="H47" s="6">
        <v>175</v>
      </c>
      <c r="I47" s="2"/>
      <c r="J47" s="7">
        <f t="shared" si="14"/>
        <v>2.6507520562262378E-3</v>
      </c>
      <c r="K47" s="2"/>
      <c r="L47" s="6">
        <f t="shared" si="15"/>
        <v>125.25999999999999</v>
      </c>
      <c r="M47" s="2"/>
      <c r="N47" s="7">
        <f t="shared" si="16"/>
        <v>0.7157714285714285</v>
      </c>
      <c r="O47" s="11"/>
      <c r="P47" s="6">
        <v>376.74</v>
      </c>
      <c r="Q47" s="2"/>
      <c r="R47" s="7">
        <f t="shared" si="17"/>
        <v>7.5837775521875369E-3</v>
      </c>
      <c r="S47" s="2"/>
      <c r="T47" s="6">
        <v>350</v>
      </c>
      <c r="U47" s="2"/>
      <c r="V47" s="7">
        <f t="shared" si="18"/>
        <v>3.0454114350848801E-3</v>
      </c>
      <c r="W47" s="2"/>
      <c r="X47" s="6">
        <f t="shared" si="19"/>
        <v>26.740000000000009</v>
      </c>
      <c r="Y47" s="2"/>
      <c r="Z47" s="7">
        <f t="shared" si="20"/>
        <v>7.6400000000000023E-2</v>
      </c>
    </row>
    <row r="48" spans="1:26" s="29" customFormat="1" outlineLevel="1" collapsed="1" x14ac:dyDescent="0.25">
      <c r="A48" s="28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4729.9399999999996</v>
      </c>
      <c r="E48" s="1"/>
      <c r="F48" s="5">
        <f t="shared" ref="F48:F58" si="21">IF(D$12=0,0,D48/D$12)</f>
        <v>0.20747789652467921</v>
      </c>
      <c r="G48" s="1"/>
      <c r="H48" s="1">
        <f>SUM(OSRRefH22_1x_0)</f>
        <v>8608.0769230769201</v>
      </c>
      <c r="I48" s="1"/>
      <c r="J48" s="5">
        <f t="shared" ref="J48:J58" si="22">IF(H$12=0,0,H48/H$12)</f>
        <v>0.13038787202285584</v>
      </c>
      <c r="K48" s="1"/>
      <c r="L48" s="1">
        <f t="shared" ref="L48:L58" si="23">+D48-H48</f>
        <v>-3878.1369230769205</v>
      </c>
      <c r="M48" s="1"/>
      <c r="N48" s="5">
        <f t="shared" ref="N48:N58" si="24">IF(H48=0,0,L48/H48)</f>
        <v>-0.45052303292971702</v>
      </c>
      <c r="O48" s="14"/>
      <c r="P48" s="1">
        <f>SUM(OSRRefP22_1x_0)</f>
        <v>15748.64</v>
      </c>
      <c r="Q48" s="1"/>
      <c r="R48" s="5">
        <f t="shared" ref="R48:R58" si="25">IF(P$12=0,0,P48/P$12)</f>
        <v>0.31702017972469798</v>
      </c>
      <c r="S48" s="1"/>
      <c r="T48" s="1">
        <f>SUM(OSRRefT22_1x_0)</f>
        <v>19368.173076923071</v>
      </c>
      <c r="U48" s="1"/>
      <c r="V48" s="5">
        <f t="shared" ref="V48:V58" si="26">IF(T$12=0,0,T48/T$12)</f>
        <v>0.16852587361475607</v>
      </c>
      <c r="W48" s="1"/>
      <c r="X48" s="1">
        <f t="shared" ref="X48:X58" si="27">+P48-T48</f>
        <v>-3619.5330769230713</v>
      </c>
      <c r="Y48" s="1"/>
      <c r="Z48" s="5">
        <f t="shared" ref="Z48:Z58" si="28">IF(T48=0,0,X48/T48)</f>
        <v>-0.18688045911959031</v>
      </c>
    </row>
    <row r="49" spans="1:26" s="24" customFormat="1" hidden="1" outlineLevel="2" x14ac:dyDescent="0.25">
      <c r="A49" s="27"/>
      <c r="B49" s="11" t="str">
        <f>CONCATENATE("          ", "6001", " - ", "ADMINISTRATIVE SALARIES")</f>
        <v xml:space="preserve">          6001 - ADMINISTRATIVE SALARIES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7"/>
      <c r="B50" s="11" t="str">
        <f>CONCATENATE("          ", "6002", " - ", "STAFF SALARIES")</f>
        <v xml:space="preserve">          6002 - STAFF SALARIES</v>
      </c>
      <c r="C50" s="11"/>
      <c r="D50" s="6">
        <v>4684.62</v>
      </c>
      <c r="E50" s="2"/>
      <c r="F50" s="7">
        <f t="shared" si="21"/>
        <v>0.20548994355476871</v>
      </c>
      <c r="G50" s="2"/>
      <c r="H50" s="6">
        <v>2108.0769230769201</v>
      </c>
      <c r="I50" s="2"/>
      <c r="J50" s="7">
        <f t="shared" si="22"/>
        <v>3.1931367077309869E-2</v>
      </c>
      <c r="K50" s="2"/>
      <c r="L50" s="6">
        <f t="shared" si="23"/>
        <v>2576.5430769230798</v>
      </c>
      <c r="M50" s="2"/>
      <c r="N50" s="7">
        <f t="shared" si="24"/>
        <v>1.2222244116037251</v>
      </c>
      <c r="O50" s="11"/>
      <c r="P50" s="6">
        <v>10540.24</v>
      </c>
      <c r="Q50" s="2"/>
      <c r="R50" s="7">
        <f t="shared" si="25"/>
        <v>0.21217506903081479</v>
      </c>
      <c r="S50" s="2"/>
      <c r="T50" s="6">
        <v>4743.1730769230699</v>
      </c>
      <c r="U50" s="2"/>
      <c r="V50" s="7">
        <f t="shared" si="26"/>
        <v>4.1271181505852149E-2</v>
      </c>
      <c r="W50" s="2"/>
      <c r="X50" s="6">
        <f t="shared" si="27"/>
        <v>5797.0669230769299</v>
      </c>
      <c r="Y50" s="2"/>
      <c r="Z50" s="7">
        <f t="shared" si="28"/>
        <v>1.2221917330576366</v>
      </c>
    </row>
    <row r="51" spans="1:26" s="24" customFormat="1" hidden="1" outlineLevel="2" x14ac:dyDescent="0.25">
      <c r="A51" s="27"/>
      <c r="B51" s="11" t="str">
        <f>CONCATENATE("          ", "6003", " - ", "STAFF HOURLY-9 MONTH")</f>
        <v xml:space="preserve">          6003 - STAFF HOURLY-9 MONTH</v>
      </c>
      <c r="C51" s="11"/>
      <c r="D51" s="6"/>
      <c r="E51" s="2"/>
      <c r="F51" s="7">
        <f t="shared" si="21"/>
        <v>0</v>
      </c>
      <c r="G51" s="2"/>
      <c r="H51" s="6">
        <v>0</v>
      </c>
      <c r="I51" s="2"/>
      <c r="J51" s="7">
        <f t="shared" si="22"/>
        <v>0</v>
      </c>
      <c r="K51" s="2"/>
      <c r="L51" s="6">
        <f t="shared" si="23"/>
        <v>0</v>
      </c>
      <c r="M51" s="2"/>
      <c r="N51" s="7">
        <f t="shared" si="24"/>
        <v>0</v>
      </c>
      <c r="O51" s="11"/>
      <c r="P51" s="6"/>
      <c r="Q51" s="2"/>
      <c r="R51" s="7">
        <f t="shared" si="25"/>
        <v>0</v>
      </c>
      <c r="S51" s="2"/>
      <c r="T51" s="6">
        <v>0</v>
      </c>
      <c r="U51" s="2"/>
      <c r="V51" s="7">
        <f t="shared" si="26"/>
        <v>0</v>
      </c>
      <c r="W51" s="2"/>
      <c r="X51" s="6">
        <f t="shared" si="27"/>
        <v>0</v>
      </c>
      <c r="Y51" s="2"/>
      <c r="Z51" s="7">
        <f t="shared" si="28"/>
        <v>0</v>
      </c>
    </row>
    <row r="52" spans="1:26" s="24" customFormat="1" hidden="1" outlineLevel="2" x14ac:dyDescent="0.25">
      <c r="A52" s="27"/>
      <c r="B52" s="11" t="str">
        <f>CONCATENATE("          ", "6004", " - ", "STAFF HOURLY")</f>
        <v xml:space="preserve">          6004 - STAFF HOURLY</v>
      </c>
      <c r="C52" s="11"/>
      <c r="D52" s="6">
        <v>-2911.56</v>
      </c>
      <c r="E52" s="2"/>
      <c r="F52" s="7">
        <f t="shared" si="21"/>
        <v>-0.12771501211545919</v>
      </c>
      <c r="G52" s="2"/>
      <c r="H52" s="6">
        <v>1320</v>
      </c>
      <c r="I52" s="2"/>
      <c r="J52" s="7">
        <f t="shared" si="22"/>
        <v>1.9994244081249338E-2</v>
      </c>
      <c r="K52" s="2"/>
      <c r="L52" s="6">
        <f t="shared" si="23"/>
        <v>-4231.5599999999995</v>
      </c>
      <c r="M52" s="2"/>
      <c r="N52" s="7">
        <f t="shared" si="24"/>
        <v>-3.2057272727272723</v>
      </c>
      <c r="O52" s="11"/>
      <c r="P52" s="6">
        <v>-161.09</v>
      </c>
      <c r="Q52" s="2"/>
      <c r="R52" s="7">
        <f t="shared" si="25"/>
        <v>-3.2427422781809482E-3</v>
      </c>
      <c r="S52" s="2"/>
      <c r="T52" s="6">
        <v>2970</v>
      </c>
      <c r="U52" s="2"/>
      <c r="V52" s="7">
        <f t="shared" si="26"/>
        <v>2.5842491320577411E-2</v>
      </c>
      <c r="W52" s="2"/>
      <c r="X52" s="6">
        <f t="shared" si="27"/>
        <v>-3131.09</v>
      </c>
      <c r="Y52" s="2"/>
      <c r="Z52" s="7">
        <f t="shared" si="28"/>
        <v>-1.0542390572390572</v>
      </c>
    </row>
    <row r="53" spans="1:26" s="24" customFormat="1" hidden="1" outlineLevel="2" x14ac:dyDescent="0.25">
      <c r="A53" s="27"/>
      <c r="B53" s="11" t="str">
        <f>CONCATENATE("          ", "6005", " - ", "TEMPORARY WAGES-HOURLY")</f>
        <v xml:space="preserve">          6005 - TEMPORARY WAGES-HOURLY</v>
      </c>
      <c r="C53" s="11"/>
      <c r="D53" s="6">
        <v>1087.03</v>
      </c>
      <c r="E53" s="2"/>
      <c r="F53" s="7">
        <f t="shared" si="21"/>
        <v>4.768235915449711E-2</v>
      </c>
      <c r="G53" s="2"/>
      <c r="H53" s="6">
        <v>0</v>
      </c>
      <c r="I53" s="2"/>
      <c r="J53" s="7">
        <f t="shared" si="22"/>
        <v>0</v>
      </c>
      <c r="K53" s="2"/>
      <c r="L53" s="6">
        <f t="shared" si="23"/>
        <v>1087.03</v>
      </c>
      <c r="M53" s="2"/>
      <c r="N53" s="7">
        <f t="shared" si="24"/>
        <v>0</v>
      </c>
      <c r="O53" s="11"/>
      <c r="P53" s="6">
        <v>2297.64</v>
      </c>
      <c r="Q53" s="2"/>
      <c r="R53" s="7">
        <f t="shared" si="25"/>
        <v>4.6251501446642702E-2</v>
      </c>
      <c r="S53" s="2"/>
      <c r="T53" s="6">
        <v>0</v>
      </c>
      <c r="U53" s="2"/>
      <c r="V53" s="7">
        <f t="shared" si="26"/>
        <v>0</v>
      </c>
      <c r="W53" s="2"/>
      <c r="X53" s="6">
        <f t="shared" si="27"/>
        <v>2297.64</v>
      </c>
      <c r="Y53" s="2"/>
      <c r="Z53" s="7">
        <f t="shared" si="28"/>
        <v>0</v>
      </c>
    </row>
    <row r="54" spans="1:26" s="24" customFormat="1" hidden="1" outlineLevel="2" x14ac:dyDescent="0.25">
      <c r="A54" s="27"/>
      <c r="B54" s="11" t="str">
        <f>CONCATENATE("          ", "6006", " - ", "TEMPORARY PART TIME")</f>
        <v xml:space="preserve">          6006 - TEMPORARY PART TIME</v>
      </c>
      <c r="C54" s="11"/>
      <c r="D54" s="6"/>
      <c r="E54" s="2"/>
      <c r="F54" s="7">
        <f t="shared" si="21"/>
        <v>0</v>
      </c>
      <c r="G54" s="2"/>
      <c r="H54" s="6">
        <v>0</v>
      </c>
      <c r="I54" s="2"/>
      <c r="J54" s="7">
        <f t="shared" si="22"/>
        <v>0</v>
      </c>
      <c r="K54" s="2"/>
      <c r="L54" s="6">
        <f t="shared" si="23"/>
        <v>0</v>
      </c>
      <c r="M54" s="2"/>
      <c r="N54" s="7">
        <f t="shared" si="24"/>
        <v>0</v>
      </c>
      <c r="O54" s="11"/>
      <c r="P54" s="6"/>
      <c r="Q54" s="2"/>
      <c r="R54" s="7">
        <f t="shared" si="25"/>
        <v>0</v>
      </c>
      <c r="S54" s="2"/>
      <c r="T54" s="6">
        <v>0</v>
      </c>
      <c r="U54" s="2"/>
      <c r="V54" s="7">
        <f t="shared" si="26"/>
        <v>0</v>
      </c>
      <c r="W54" s="2"/>
      <c r="X54" s="6">
        <f t="shared" si="27"/>
        <v>0</v>
      </c>
      <c r="Y54" s="2"/>
      <c r="Z54" s="7">
        <f t="shared" si="28"/>
        <v>0</v>
      </c>
    </row>
    <row r="55" spans="1:26" s="24" customFormat="1" hidden="1" outlineLevel="2" x14ac:dyDescent="0.25">
      <c r="A55" s="27"/>
      <c r="B55" s="11" t="str">
        <f>CONCATENATE("          ", "6007", " - ", "STUDENT HOURLY")</f>
        <v xml:space="preserve">          6007 - STUDENT HOURLY</v>
      </c>
      <c r="C55" s="11"/>
      <c r="D55" s="6">
        <v>1775.86</v>
      </c>
      <c r="E55" s="2"/>
      <c r="F55" s="7">
        <f t="shared" si="21"/>
        <v>7.7897752893761191E-2</v>
      </c>
      <c r="G55" s="2"/>
      <c r="H55" s="6">
        <v>5180</v>
      </c>
      <c r="I55" s="2"/>
      <c r="J55" s="7">
        <f t="shared" si="22"/>
        <v>7.846226086429664E-2</v>
      </c>
      <c r="K55" s="2"/>
      <c r="L55" s="6">
        <f t="shared" si="23"/>
        <v>-3404.1400000000003</v>
      </c>
      <c r="M55" s="2"/>
      <c r="N55" s="7">
        <f t="shared" si="24"/>
        <v>-0.6571698841698842</v>
      </c>
      <c r="O55" s="11"/>
      <c r="P55" s="6">
        <v>2977.86</v>
      </c>
      <c r="Q55" s="2"/>
      <c r="R55" s="7">
        <f t="shared" si="25"/>
        <v>5.994433248807448E-2</v>
      </c>
      <c r="S55" s="2"/>
      <c r="T55" s="6">
        <v>11655</v>
      </c>
      <c r="U55" s="2"/>
      <c r="V55" s="7">
        <f t="shared" si="26"/>
        <v>0.10141220078832651</v>
      </c>
      <c r="W55" s="2"/>
      <c r="X55" s="6">
        <f t="shared" si="27"/>
        <v>-8677.14</v>
      </c>
      <c r="Y55" s="2"/>
      <c r="Z55" s="7">
        <f t="shared" si="28"/>
        <v>-0.7444993564993565</v>
      </c>
    </row>
    <row r="56" spans="1:26" s="24" customFormat="1" hidden="1" outlineLevel="2" x14ac:dyDescent="0.25">
      <c r="A56" s="27"/>
      <c r="B56" s="11" t="str">
        <f>CONCATENATE("          ", "6008", " - ", "STUDENT HOURLY-FICA EXEMPT")</f>
        <v xml:space="preserve">          6008 - STUDENT HOURLY-FICA EXEMPT</v>
      </c>
      <c r="C56" s="11"/>
      <c r="D56" s="6">
        <v>93.99</v>
      </c>
      <c r="E56" s="2"/>
      <c r="F56" s="7">
        <f t="shared" si="21"/>
        <v>4.1228530371113792E-3</v>
      </c>
      <c r="G56" s="2"/>
      <c r="H56" s="6">
        <v>0</v>
      </c>
      <c r="I56" s="2"/>
      <c r="J56" s="7">
        <f t="shared" si="22"/>
        <v>0</v>
      </c>
      <c r="K56" s="2"/>
      <c r="L56" s="6">
        <f t="shared" si="23"/>
        <v>93.99</v>
      </c>
      <c r="M56" s="2"/>
      <c r="N56" s="7">
        <f t="shared" si="24"/>
        <v>0</v>
      </c>
      <c r="O56" s="11"/>
      <c r="P56" s="6">
        <v>93.99</v>
      </c>
      <c r="Q56" s="2"/>
      <c r="R56" s="7">
        <f t="shared" si="25"/>
        <v>1.8920190373469942E-3</v>
      </c>
      <c r="S56" s="2"/>
      <c r="T56" s="6">
        <v>0</v>
      </c>
      <c r="U56" s="2"/>
      <c r="V56" s="7">
        <f t="shared" si="26"/>
        <v>0</v>
      </c>
      <c r="W56" s="2"/>
      <c r="X56" s="6">
        <f t="shared" si="27"/>
        <v>93.99</v>
      </c>
      <c r="Y56" s="2"/>
      <c r="Z56" s="7">
        <f t="shared" si="28"/>
        <v>0</v>
      </c>
    </row>
    <row r="57" spans="1:26" s="24" customFormat="1" hidden="1" outlineLevel="2" x14ac:dyDescent="0.25">
      <c r="A57" s="27"/>
      <c r="B57" s="11" t="str">
        <f>CONCATENATE("          ", "6009", " - ", "TEMPORARY-SEASONAL")</f>
        <v xml:space="preserve">          6009 - TEMPORARY-SEASONAL</v>
      </c>
      <c r="C57" s="11"/>
      <c r="D57" s="6"/>
      <c r="E57" s="2"/>
      <c r="F57" s="7">
        <f t="shared" si="21"/>
        <v>0</v>
      </c>
      <c r="G57" s="2"/>
      <c r="H57" s="6">
        <v>0</v>
      </c>
      <c r="I57" s="2"/>
      <c r="J57" s="7">
        <f t="shared" si="22"/>
        <v>0</v>
      </c>
      <c r="K57" s="2"/>
      <c r="L57" s="6">
        <f t="shared" si="23"/>
        <v>0</v>
      </c>
      <c r="M57" s="2"/>
      <c r="N57" s="7">
        <f t="shared" si="24"/>
        <v>0</v>
      </c>
      <c r="O57" s="11"/>
      <c r="P57" s="6"/>
      <c r="Q57" s="2"/>
      <c r="R57" s="7">
        <f t="shared" si="25"/>
        <v>0</v>
      </c>
      <c r="S57" s="2"/>
      <c r="T57" s="6">
        <v>0</v>
      </c>
      <c r="U57" s="2"/>
      <c r="V57" s="7">
        <f t="shared" si="26"/>
        <v>0</v>
      </c>
      <c r="W57" s="2"/>
      <c r="X57" s="6">
        <f t="shared" si="27"/>
        <v>0</v>
      </c>
      <c r="Y57" s="2"/>
      <c r="Z57" s="7">
        <f t="shared" si="28"/>
        <v>0</v>
      </c>
    </row>
    <row r="58" spans="1:26" s="24" customFormat="1" hidden="1" outlineLevel="2" x14ac:dyDescent="0.25">
      <c r="A58" s="27"/>
      <c r="B58" s="11" t="str">
        <f>CONCATENATE("          ", "6010", " - ", "GRATUITY")</f>
        <v xml:space="preserve">          6010 - GRATUITY</v>
      </c>
      <c r="C58" s="11"/>
      <c r="D58" s="6"/>
      <c r="E58" s="2"/>
      <c r="F58" s="7">
        <f t="shared" si="21"/>
        <v>0</v>
      </c>
      <c r="G58" s="2"/>
      <c r="H58" s="6">
        <v>0</v>
      </c>
      <c r="I58" s="2"/>
      <c r="J58" s="7">
        <f t="shared" si="22"/>
        <v>0</v>
      </c>
      <c r="K58" s="2"/>
      <c r="L58" s="6">
        <f t="shared" si="23"/>
        <v>0</v>
      </c>
      <c r="M58" s="2"/>
      <c r="N58" s="7">
        <f t="shared" si="24"/>
        <v>0</v>
      </c>
      <c r="O58" s="11"/>
      <c r="P58" s="6"/>
      <c r="Q58" s="2"/>
      <c r="R58" s="7">
        <f t="shared" si="25"/>
        <v>0</v>
      </c>
      <c r="S58" s="2"/>
      <c r="T58" s="6">
        <v>0</v>
      </c>
      <c r="U58" s="2"/>
      <c r="V58" s="7">
        <f t="shared" si="26"/>
        <v>0</v>
      </c>
      <c r="W58" s="2"/>
      <c r="X58" s="6">
        <f t="shared" si="27"/>
        <v>0</v>
      </c>
      <c r="Y58" s="2"/>
      <c r="Z58" s="7">
        <f t="shared" si="28"/>
        <v>0</v>
      </c>
    </row>
    <row r="59" spans="1:26" s="29" customFormat="1" outlineLevel="1" collapsed="1" x14ac:dyDescent="0.25">
      <c r="A59" s="28"/>
      <c r="B59" s="14" t="str">
        <f>CONCATENATE("     ","Advertising/Promo                                 ")</f>
        <v xml:space="preserve">     Advertising/Promo                                 </v>
      </c>
      <c r="C59" s="14"/>
      <c r="D59" s="1">
        <f>SUM(OSRRefD22_2x_0)</f>
        <v>0</v>
      </c>
      <c r="E59" s="1"/>
      <c r="F59" s="5">
        <f t="shared" ref="F59:F73" si="29">IF(D$12=0,0,D59/D$12)</f>
        <v>0</v>
      </c>
      <c r="G59" s="1"/>
      <c r="H59" s="1">
        <f>SUM(OSRRefH22_2x_0)</f>
        <v>50</v>
      </c>
      <c r="I59" s="1"/>
      <c r="J59" s="5">
        <f t="shared" ref="J59:J73" si="30">IF(H$12=0,0,H59/H$12)</f>
        <v>7.5735773035035371E-4</v>
      </c>
      <c r="K59" s="1"/>
      <c r="L59" s="1">
        <f t="shared" ref="L59:L73" si="31">+D59-H59</f>
        <v>-50</v>
      </c>
      <c r="M59" s="1"/>
      <c r="N59" s="5">
        <f t="shared" ref="N59:N73" si="32">IF(H59=0,0,L59/H59)</f>
        <v>-1</v>
      </c>
      <c r="O59" s="14"/>
      <c r="P59" s="1">
        <f>SUM(OSRRefP22_2x_0)</f>
        <v>0</v>
      </c>
      <c r="Q59" s="1"/>
      <c r="R59" s="5">
        <f t="shared" ref="R59:R73" si="33">IF(P$12=0,0,P59/P$12)</f>
        <v>0</v>
      </c>
      <c r="S59" s="1"/>
      <c r="T59" s="1">
        <f>SUM(OSRRefT22_2x_0)</f>
        <v>100</v>
      </c>
      <c r="U59" s="1"/>
      <c r="V59" s="5">
        <f t="shared" ref="V59:V73" si="34">IF(T$12=0,0,T59/T$12)</f>
        <v>8.7011755288139432E-4</v>
      </c>
      <c r="W59" s="1"/>
      <c r="X59" s="1">
        <f t="shared" ref="X59:X73" si="35">+P59-T59</f>
        <v>-100</v>
      </c>
      <c r="Y59" s="1"/>
      <c r="Z59" s="5">
        <f t="shared" ref="Z59:Z73" si="36">IF(T59=0,0,X59/T59)</f>
        <v>-1</v>
      </c>
    </row>
    <row r="60" spans="1:26" s="24" customFormat="1" hidden="1" outlineLevel="2" x14ac:dyDescent="0.25">
      <c r="A60" s="27"/>
      <c r="B60" s="11" t="str">
        <f>CONCATENATE("          ", "6362", " - ", "ADVERTISING EXPENSE")</f>
        <v xml:space="preserve">          6362 - ADVERTISING EXPENSE</v>
      </c>
      <c r="C60" s="11"/>
      <c r="D60" s="6"/>
      <c r="E60" s="2"/>
      <c r="F60" s="7">
        <f t="shared" si="29"/>
        <v>0</v>
      </c>
      <c r="G60" s="2"/>
      <c r="H60" s="6">
        <v>50</v>
      </c>
      <c r="I60" s="2"/>
      <c r="J60" s="7">
        <f t="shared" si="30"/>
        <v>7.5735773035035371E-4</v>
      </c>
      <c r="K60" s="2"/>
      <c r="L60" s="6">
        <f t="shared" si="31"/>
        <v>-50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100</v>
      </c>
      <c r="U60" s="2"/>
      <c r="V60" s="7">
        <f t="shared" si="34"/>
        <v>8.7011755288139432E-4</v>
      </c>
      <c r="W60" s="2"/>
      <c r="X60" s="6">
        <f t="shared" si="35"/>
        <v>-100</v>
      </c>
      <c r="Y60" s="2"/>
      <c r="Z60" s="7">
        <f t="shared" si="36"/>
        <v>-1</v>
      </c>
    </row>
    <row r="61" spans="1:26" s="29" customFormat="1" outlineLevel="1" collapsed="1" x14ac:dyDescent="0.25">
      <c r="A61" s="28"/>
      <c r="B61" s="14" t="str">
        <f>CONCATENATE("     ","Bad Debts/Over/Short                              ")</f>
        <v xml:space="preserve">     Bad Debts/Over/Short                              </v>
      </c>
      <c r="C61" s="14"/>
      <c r="D61" s="1">
        <f>SUM(OSRRefD22_3x_0)</f>
        <v>4.5599999999999996</v>
      </c>
      <c r="E61" s="1"/>
      <c r="F61" s="5">
        <f t="shared" si="29"/>
        <v>2.0002351153556645E-4</v>
      </c>
      <c r="G61" s="1"/>
      <c r="H61" s="1">
        <f>SUM(OSRRefH22_3x_0)</f>
        <v>10</v>
      </c>
      <c r="I61" s="1"/>
      <c r="J61" s="5">
        <f t="shared" si="30"/>
        <v>1.5147154607007073E-4</v>
      </c>
      <c r="K61" s="1"/>
      <c r="L61" s="1">
        <f t="shared" si="31"/>
        <v>-5.44</v>
      </c>
      <c r="M61" s="1"/>
      <c r="N61" s="5">
        <f t="shared" si="32"/>
        <v>-0.54400000000000004</v>
      </c>
      <c r="O61" s="14"/>
      <c r="P61" s="1">
        <f>SUM(OSRRefP22_3x_0)</f>
        <v>3.66</v>
      </c>
      <c r="Q61" s="1"/>
      <c r="R61" s="5">
        <f t="shared" si="33"/>
        <v>7.3675813136397477E-5</v>
      </c>
      <c r="S61" s="1"/>
      <c r="T61" s="1">
        <f>SUM(OSRRefT22_3x_0)</f>
        <v>20</v>
      </c>
      <c r="U61" s="1"/>
      <c r="V61" s="5">
        <f t="shared" si="34"/>
        <v>1.7402351057627886E-4</v>
      </c>
      <c r="W61" s="1"/>
      <c r="X61" s="1">
        <f t="shared" si="35"/>
        <v>-16.34</v>
      </c>
      <c r="Y61" s="1"/>
      <c r="Z61" s="5">
        <f t="shared" si="36"/>
        <v>-0.81699999999999995</v>
      </c>
    </row>
    <row r="62" spans="1:26" s="24" customFormat="1" hidden="1" outlineLevel="2" x14ac:dyDescent="0.25">
      <c r="A62" s="27"/>
      <c r="B62" s="11" t="str">
        <f>CONCATENATE("          ", "6272", " - ", "CASH (OVER/SHORT)")</f>
        <v xml:space="preserve">          6272 - CASH (OVER/SHORT)</v>
      </c>
      <c r="C62" s="11"/>
      <c r="D62" s="6">
        <v>4.5599999999999996</v>
      </c>
      <c r="E62" s="2"/>
      <c r="F62" s="7">
        <f t="shared" si="29"/>
        <v>2.0002351153556645E-4</v>
      </c>
      <c r="G62" s="2"/>
      <c r="H62" s="6">
        <v>10</v>
      </c>
      <c r="I62" s="2"/>
      <c r="J62" s="7">
        <f t="shared" si="30"/>
        <v>1.5147154607007073E-4</v>
      </c>
      <c r="K62" s="2"/>
      <c r="L62" s="6">
        <f t="shared" si="31"/>
        <v>-5.44</v>
      </c>
      <c r="M62" s="2"/>
      <c r="N62" s="7">
        <f t="shared" si="32"/>
        <v>-0.54400000000000004</v>
      </c>
      <c r="O62" s="11"/>
      <c r="P62" s="6">
        <v>3.66</v>
      </c>
      <c r="Q62" s="2"/>
      <c r="R62" s="7">
        <f t="shared" si="33"/>
        <v>7.3675813136397477E-5</v>
      </c>
      <c r="S62" s="2"/>
      <c r="T62" s="6">
        <v>20</v>
      </c>
      <c r="U62" s="2"/>
      <c r="V62" s="7">
        <f t="shared" si="34"/>
        <v>1.7402351057627886E-4</v>
      </c>
      <c r="W62" s="2"/>
      <c r="X62" s="6">
        <f t="shared" si="35"/>
        <v>-16.34</v>
      </c>
      <c r="Y62" s="2"/>
      <c r="Z62" s="7">
        <f t="shared" si="36"/>
        <v>-0.81699999999999995</v>
      </c>
    </row>
    <row r="63" spans="1:26" s="29" customFormat="1" outlineLevel="1" collapsed="1" x14ac:dyDescent="0.25">
      <c r="A63" s="28"/>
      <c r="B63" s="14" t="str">
        <f>CONCATENATE("     ","Bank/card Fees                                    ")</f>
        <v xml:space="preserve">     Bank/card Fees                                    </v>
      </c>
      <c r="C63" s="14"/>
      <c r="D63" s="1">
        <f>SUM(OSRRefD22_4x_0)</f>
        <v>452.83</v>
      </c>
      <c r="E63" s="1"/>
      <c r="F63" s="5">
        <f t="shared" si="29"/>
        <v>1.9863299721195299E-2</v>
      </c>
      <c r="G63" s="1"/>
      <c r="H63" s="1">
        <f>SUM(OSRRefH22_4x_0)</f>
        <v>626</v>
      </c>
      <c r="I63" s="1"/>
      <c r="J63" s="5">
        <f t="shared" si="30"/>
        <v>9.4821187839864273E-3</v>
      </c>
      <c r="K63" s="1"/>
      <c r="L63" s="1">
        <f t="shared" si="31"/>
        <v>-173.17000000000002</v>
      </c>
      <c r="M63" s="1"/>
      <c r="N63" s="5">
        <f t="shared" si="32"/>
        <v>-0.27662939297124606</v>
      </c>
      <c r="O63" s="14"/>
      <c r="P63" s="1">
        <f>SUM(OSRRefP22_4x_0)</f>
        <v>759.72</v>
      </c>
      <c r="Q63" s="1"/>
      <c r="R63" s="5">
        <f t="shared" si="33"/>
        <v>1.5293166326771555E-2</v>
      </c>
      <c r="S63" s="1"/>
      <c r="T63" s="1">
        <f>SUM(OSRRefT22_4x_0)</f>
        <v>1226</v>
      </c>
      <c r="U63" s="1"/>
      <c r="V63" s="5">
        <f t="shared" si="34"/>
        <v>1.0667641198325894E-2</v>
      </c>
      <c r="W63" s="1"/>
      <c r="X63" s="1">
        <f t="shared" si="35"/>
        <v>-466.28</v>
      </c>
      <c r="Y63" s="1"/>
      <c r="Z63" s="5">
        <f t="shared" si="36"/>
        <v>-0.38032626427406196</v>
      </c>
    </row>
    <row r="64" spans="1:26" s="24" customFormat="1" hidden="1" outlineLevel="2" x14ac:dyDescent="0.25">
      <c r="A64" s="27"/>
      <c r="B64" s="11" t="str">
        <f>CONCATENATE("          ", "6381", " - ", "BANK/CREDIT CARD FEES")</f>
        <v xml:space="preserve">          6381 - BANK/CREDIT CARD FEES</v>
      </c>
      <c r="C64" s="11"/>
      <c r="D64" s="6">
        <v>452.83</v>
      </c>
      <c r="E64" s="2"/>
      <c r="F64" s="7">
        <f t="shared" si="29"/>
        <v>1.9863299721195299E-2</v>
      </c>
      <c r="G64" s="2"/>
      <c r="H64" s="6">
        <v>626</v>
      </c>
      <c r="I64" s="2"/>
      <c r="J64" s="7">
        <f t="shared" si="30"/>
        <v>9.4821187839864273E-3</v>
      </c>
      <c r="K64" s="2"/>
      <c r="L64" s="6">
        <f t="shared" si="31"/>
        <v>-173.17000000000002</v>
      </c>
      <c r="M64" s="2"/>
      <c r="N64" s="7">
        <f t="shared" si="32"/>
        <v>-0.27662939297124606</v>
      </c>
      <c r="O64" s="11"/>
      <c r="P64" s="6">
        <v>759.72</v>
      </c>
      <c r="Q64" s="2"/>
      <c r="R64" s="7">
        <f t="shared" si="33"/>
        <v>1.5293166326771555E-2</v>
      </c>
      <c r="S64" s="2"/>
      <c r="T64" s="6">
        <v>1226</v>
      </c>
      <c r="U64" s="2"/>
      <c r="V64" s="7">
        <f t="shared" si="34"/>
        <v>1.0667641198325894E-2</v>
      </c>
      <c r="W64" s="2"/>
      <c r="X64" s="6">
        <f t="shared" si="35"/>
        <v>-466.28</v>
      </c>
      <c r="Y64" s="2"/>
      <c r="Z64" s="7">
        <f t="shared" si="36"/>
        <v>-0.38032626427406196</v>
      </c>
    </row>
    <row r="65" spans="1:26" s="29" customFormat="1" outlineLevel="1" collapsed="1" x14ac:dyDescent="0.25">
      <c r="A65" s="28"/>
      <c r="B65" s="14" t="str">
        <f>CONCATENATE("     ","Discounts and Markdowns                           ")</f>
        <v xml:space="preserve">     Discounts and Markdowns                           </v>
      </c>
      <c r="C65" s="14"/>
      <c r="D65" s="1">
        <f>SUM(OSRRefD22_5x_0)</f>
        <v>0</v>
      </c>
      <c r="E65" s="1"/>
      <c r="F65" s="5">
        <f t="shared" si="29"/>
        <v>0</v>
      </c>
      <c r="G65" s="1"/>
      <c r="H65" s="1">
        <f>SUM(OSRRefH22_5x_0)</f>
        <v>6603</v>
      </c>
      <c r="I65" s="1"/>
      <c r="J65" s="5">
        <f t="shared" si="30"/>
        <v>0.10001666187006771</v>
      </c>
      <c r="K65" s="1"/>
      <c r="L65" s="1">
        <f t="shared" si="31"/>
        <v>-6603</v>
      </c>
      <c r="M65" s="1"/>
      <c r="N65" s="5">
        <f t="shared" si="32"/>
        <v>-1</v>
      </c>
      <c r="O65" s="14"/>
      <c r="P65" s="1">
        <f>SUM(OSRRefP22_5x_0)</f>
        <v>0</v>
      </c>
      <c r="Q65" s="1"/>
      <c r="R65" s="5">
        <f t="shared" si="33"/>
        <v>0</v>
      </c>
      <c r="S65" s="1"/>
      <c r="T65" s="1">
        <f>SUM(OSRRefT22_5x_0)</f>
        <v>11494</v>
      </c>
      <c r="U65" s="1"/>
      <c r="V65" s="5">
        <f t="shared" si="34"/>
        <v>0.10001131152818746</v>
      </c>
      <c r="W65" s="1"/>
      <c r="X65" s="1">
        <f t="shared" si="35"/>
        <v>-11494</v>
      </c>
      <c r="Y65" s="1"/>
      <c r="Z65" s="5">
        <f t="shared" si="36"/>
        <v>-1</v>
      </c>
    </row>
    <row r="66" spans="1:26" s="24" customFormat="1" hidden="1" outlineLevel="2" x14ac:dyDescent="0.25">
      <c r="A66" s="27"/>
      <c r="B66" s="11" t="str">
        <f>CONCATENATE("          ", "6382", " - ", "DISCOUNTS/MARK DOWNS")</f>
        <v xml:space="preserve">          6382 - DISCOUNTS/MARK DOWNS</v>
      </c>
      <c r="C66" s="11"/>
      <c r="D66" s="6"/>
      <c r="E66" s="2"/>
      <c r="F66" s="7">
        <f t="shared" si="29"/>
        <v>0</v>
      </c>
      <c r="G66" s="2"/>
      <c r="H66" s="6">
        <v>6603</v>
      </c>
      <c r="I66" s="2"/>
      <c r="J66" s="7">
        <f t="shared" si="30"/>
        <v>0.10001666187006771</v>
      </c>
      <c r="K66" s="2"/>
      <c r="L66" s="6">
        <f t="shared" si="31"/>
        <v>-6603</v>
      </c>
      <c r="M66" s="2"/>
      <c r="N66" s="7">
        <f t="shared" si="32"/>
        <v>-1</v>
      </c>
      <c r="O66" s="11"/>
      <c r="P66" s="6"/>
      <c r="Q66" s="2"/>
      <c r="R66" s="7">
        <f t="shared" si="33"/>
        <v>0</v>
      </c>
      <c r="S66" s="2"/>
      <c r="T66" s="6">
        <v>11494</v>
      </c>
      <c r="U66" s="2"/>
      <c r="V66" s="7">
        <f t="shared" si="34"/>
        <v>0.10001131152818746</v>
      </c>
      <c r="W66" s="2"/>
      <c r="X66" s="6">
        <f t="shared" si="35"/>
        <v>-11494</v>
      </c>
      <c r="Y66" s="2"/>
      <c r="Z66" s="7">
        <f t="shared" si="36"/>
        <v>-1</v>
      </c>
    </row>
    <row r="67" spans="1:26" s="29" customFormat="1" outlineLevel="1" collapsed="1" x14ac:dyDescent="0.25">
      <c r="A67" s="28"/>
      <c r="B67" s="14" t="str">
        <f>CONCATENATE("     ","Donations                                         ")</f>
        <v xml:space="preserve">     Donations                                         </v>
      </c>
      <c r="C67" s="14"/>
      <c r="D67" s="1">
        <f>SUM(OSRRefD22_6x_0)</f>
        <v>0</v>
      </c>
      <c r="E67" s="1"/>
      <c r="F67" s="5">
        <f t="shared" si="29"/>
        <v>0</v>
      </c>
      <c r="G67" s="1"/>
      <c r="H67" s="1">
        <f>SUM(OSRRefH22_6x_0)</f>
        <v>0</v>
      </c>
      <c r="I67" s="1"/>
      <c r="J67" s="5">
        <f t="shared" si="30"/>
        <v>0</v>
      </c>
      <c r="K67" s="1"/>
      <c r="L67" s="1">
        <f t="shared" si="31"/>
        <v>0</v>
      </c>
      <c r="M67" s="1"/>
      <c r="N67" s="5">
        <f t="shared" si="32"/>
        <v>0</v>
      </c>
      <c r="O67" s="14"/>
      <c r="P67" s="1">
        <f>SUM(OSRRefP22_6x_0)</f>
        <v>0</v>
      </c>
      <c r="Q67" s="1"/>
      <c r="R67" s="5">
        <f t="shared" si="33"/>
        <v>0</v>
      </c>
      <c r="S67" s="1"/>
      <c r="T67" s="1">
        <f>SUM(OSRRefT22_6x_0)</f>
        <v>0</v>
      </c>
      <c r="U67" s="1"/>
      <c r="V67" s="5">
        <f t="shared" si="34"/>
        <v>0</v>
      </c>
      <c r="W67" s="1"/>
      <c r="X67" s="1">
        <f t="shared" si="35"/>
        <v>0</v>
      </c>
      <c r="Y67" s="1"/>
      <c r="Z67" s="5">
        <f t="shared" si="36"/>
        <v>0</v>
      </c>
    </row>
    <row r="68" spans="1:26" s="24" customFormat="1" hidden="1" outlineLevel="2" x14ac:dyDescent="0.25">
      <c r="A68" s="27"/>
      <c r="B68" s="11" t="str">
        <f>CONCATENATE("          ", "6395", " - ", "DONATION-OFF CAMPUS")</f>
        <v xml:space="preserve">          6395 - DONATION-OFF CAMPUS</v>
      </c>
      <c r="C68" s="11"/>
      <c r="D68" s="6"/>
      <c r="E68" s="2"/>
      <c r="F68" s="7">
        <f t="shared" si="29"/>
        <v>0</v>
      </c>
      <c r="G68" s="2"/>
      <c r="H68" s="6"/>
      <c r="I68" s="2"/>
      <c r="J68" s="7">
        <f t="shared" si="30"/>
        <v>0</v>
      </c>
      <c r="K68" s="2"/>
      <c r="L68" s="6">
        <f t="shared" si="31"/>
        <v>0</v>
      </c>
      <c r="M68" s="2"/>
      <c r="N68" s="7">
        <f t="shared" si="32"/>
        <v>0</v>
      </c>
      <c r="O68" s="11"/>
      <c r="P68" s="6"/>
      <c r="Q68" s="2"/>
      <c r="R68" s="7">
        <f t="shared" si="33"/>
        <v>0</v>
      </c>
      <c r="S68" s="2"/>
      <c r="T68" s="6">
        <v>0</v>
      </c>
      <c r="U68" s="2"/>
      <c r="V68" s="7">
        <f t="shared" si="34"/>
        <v>0</v>
      </c>
      <c r="W68" s="2"/>
      <c r="X68" s="6">
        <f t="shared" si="35"/>
        <v>0</v>
      </c>
      <c r="Y68" s="2"/>
      <c r="Z68" s="7">
        <f t="shared" si="36"/>
        <v>0</v>
      </c>
    </row>
    <row r="69" spans="1:26" s="29" customFormat="1" outlineLevel="1" collapsed="1" x14ac:dyDescent="0.25">
      <c r="A69" s="28"/>
      <c r="B69" s="14" t="str">
        <f>CONCATENATE("     ","Employees' Appreciation                           ")</f>
        <v xml:space="preserve">     Employees' Appreciation                           </v>
      </c>
      <c r="C69" s="14"/>
      <c r="D69" s="1">
        <f>SUM(OSRRefD22_7x_0)</f>
        <v>0</v>
      </c>
      <c r="E69" s="1"/>
      <c r="F69" s="5">
        <f t="shared" si="29"/>
        <v>0</v>
      </c>
      <c r="G69" s="1"/>
      <c r="H69" s="1">
        <f>SUM(OSRRefH22_7x_0)</f>
        <v>50</v>
      </c>
      <c r="I69" s="1"/>
      <c r="J69" s="5">
        <f t="shared" si="30"/>
        <v>7.5735773035035371E-4</v>
      </c>
      <c r="K69" s="1"/>
      <c r="L69" s="1">
        <f t="shared" si="31"/>
        <v>-50</v>
      </c>
      <c r="M69" s="1"/>
      <c r="N69" s="5">
        <f t="shared" si="32"/>
        <v>-1</v>
      </c>
      <c r="O69" s="14"/>
      <c r="P69" s="1">
        <f>SUM(OSRRefP22_7x_0)</f>
        <v>0</v>
      </c>
      <c r="Q69" s="1"/>
      <c r="R69" s="5">
        <f t="shared" si="33"/>
        <v>0</v>
      </c>
      <c r="S69" s="1"/>
      <c r="T69" s="1">
        <f>SUM(OSRRefT22_7x_0)</f>
        <v>100</v>
      </c>
      <c r="U69" s="1"/>
      <c r="V69" s="5">
        <f t="shared" si="34"/>
        <v>8.7011755288139432E-4</v>
      </c>
      <c r="W69" s="1"/>
      <c r="X69" s="1">
        <f t="shared" si="35"/>
        <v>-100</v>
      </c>
      <c r="Y69" s="1"/>
      <c r="Z69" s="5">
        <f t="shared" si="36"/>
        <v>-1</v>
      </c>
    </row>
    <row r="70" spans="1:26" s="24" customFormat="1" hidden="1" outlineLevel="2" x14ac:dyDescent="0.25">
      <c r="A70" s="27"/>
      <c r="B70" s="11" t="str">
        <f>CONCATENATE("          ", "6277", " - ", "EMPLOYEE APPRECIATION")</f>
        <v xml:space="preserve">          6277 - EMPLOYEE APPRECIATION</v>
      </c>
      <c r="C70" s="11"/>
      <c r="D70" s="6"/>
      <c r="E70" s="2"/>
      <c r="F70" s="7">
        <f t="shared" si="29"/>
        <v>0</v>
      </c>
      <c r="G70" s="2"/>
      <c r="H70" s="6">
        <v>50</v>
      </c>
      <c r="I70" s="2"/>
      <c r="J70" s="7">
        <f t="shared" si="30"/>
        <v>7.5735773035035371E-4</v>
      </c>
      <c r="K70" s="2"/>
      <c r="L70" s="6">
        <f t="shared" si="31"/>
        <v>-50</v>
      </c>
      <c r="M70" s="2"/>
      <c r="N70" s="7">
        <f t="shared" si="32"/>
        <v>-1</v>
      </c>
      <c r="O70" s="11"/>
      <c r="P70" s="6"/>
      <c r="Q70" s="2"/>
      <c r="R70" s="7">
        <f t="shared" si="33"/>
        <v>0</v>
      </c>
      <c r="S70" s="2"/>
      <c r="T70" s="6">
        <v>100</v>
      </c>
      <c r="U70" s="2"/>
      <c r="V70" s="7">
        <f t="shared" si="34"/>
        <v>8.7011755288139432E-4</v>
      </c>
      <c r="W70" s="2"/>
      <c r="X70" s="6">
        <f t="shared" si="35"/>
        <v>-100</v>
      </c>
      <c r="Y70" s="2"/>
      <c r="Z70" s="7">
        <f t="shared" si="36"/>
        <v>-1</v>
      </c>
    </row>
    <row r="71" spans="1:26" s="29" customFormat="1" outlineLevel="1" collapsed="1" x14ac:dyDescent="0.25">
      <c r="A71" s="28"/>
      <c r="B71" s="14" t="str">
        <f>CONCATENATE("     ","General                                           ")</f>
        <v xml:space="preserve">     General                                           </v>
      </c>
      <c r="C71" s="14"/>
      <c r="D71" s="1">
        <f>SUM(OSRRefD22_8x_0)</f>
        <v>0</v>
      </c>
      <c r="E71" s="1"/>
      <c r="F71" s="5">
        <f t="shared" si="29"/>
        <v>0</v>
      </c>
      <c r="G71" s="1"/>
      <c r="H71" s="1">
        <f>SUM(OSRRefH22_8x_0)</f>
        <v>0</v>
      </c>
      <c r="I71" s="1"/>
      <c r="J71" s="5">
        <f t="shared" si="30"/>
        <v>0</v>
      </c>
      <c r="K71" s="1"/>
      <c r="L71" s="1">
        <f t="shared" si="31"/>
        <v>0</v>
      </c>
      <c r="M71" s="1"/>
      <c r="N71" s="5">
        <f t="shared" si="32"/>
        <v>0</v>
      </c>
      <c r="O71" s="14"/>
      <c r="P71" s="1">
        <f>SUM(OSRRefP22_8x_0)</f>
        <v>0</v>
      </c>
      <c r="Q71" s="1"/>
      <c r="R71" s="5">
        <f t="shared" si="33"/>
        <v>0</v>
      </c>
      <c r="S71" s="1"/>
      <c r="T71" s="1">
        <f>SUM(OSRRefT22_8x_0)</f>
        <v>150</v>
      </c>
      <c r="U71" s="1"/>
      <c r="V71" s="5">
        <f t="shared" si="34"/>
        <v>1.3051763293220914E-3</v>
      </c>
      <c r="W71" s="1"/>
      <c r="X71" s="1">
        <f t="shared" si="35"/>
        <v>-150</v>
      </c>
      <c r="Y71" s="1"/>
      <c r="Z71" s="5">
        <f t="shared" si="36"/>
        <v>-1</v>
      </c>
    </row>
    <row r="72" spans="1:26" s="24" customFormat="1" hidden="1" outlineLevel="2" x14ac:dyDescent="0.25">
      <c r="A72" s="27"/>
      <c r="B72" s="11" t="str">
        <f>CONCATENATE("          ", "6276", " - ", "PROPERTY TAX")</f>
        <v xml:space="preserve">          6276 - PROPERTY TAX</v>
      </c>
      <c r="C72" s="11"/>
      <c r="D72" s="6"/>
      <c r="E72" s="2"/>
      <c r="F72" s="7">
        <f t="shared" si="29"/>
        <v>0</v>
      </c>
      <c r="G72" s="2"/>
      <c r="H72" s="6"/>
      <c r="I72" s="2"/>
      <c r="J72" s="7">
        <f t="shared" si="30"/>
        <v>0</v>
      </c>
      <c r="K72" s="2"/>
      <c r="L72" s="6">
        <f t="shared" si="31"/>
        <v>0</v>
      </c>
      <c r="M72" s="2"/>
      <c r="N72" s="7">
        <f t="shared" si="32"/>
        <v>0</v>
      </c>
      <c r="O72" s="11"/>
      <c r="P72" s="6"/>
      <c r="Q72" s="2"/>
      <c r="R72" s="7">
        <f t="shared" si="33"/>
        <v>0</v>
      </c>
      <c r="S72" s="2"/>
      <c r="T72" s="6">
        <v>150</v>
      </c>
      <c r="U72" s="2"/>
      <c r="V72" s="7">
        <f t="shared" si="34"/>
        <v>1.3051763293220914E-3</v>
      </c>
      <c r="W72" s="2"/>
      <c r="X72" s="6">
        <f t="shared" si="35"/>
        <v>-150</v>
      </c>
      <c r="Y72" s="2"/>
      <c r="Z72" s="7">
        <f t="shared" si="36"/>
        <v>-1</v>
      </c>
    </row>
    <row r="73" spans="1:26" s="24" customFormat="1" hidden="1" outlineLevel="2" x14ac:dyDescent="0.25">
      <c r="A73" s="27"/>
      <c r="B73" s="11" t="str">
        <f>CONCATENATE("          ", "6279", " - ", "GENERAL EXPENSE")</f>
        <v xml:space="preserve">          6279 - GENERAL EXPENSE</v>
      </c>
      <c r="C73" s="11"/>
      <c r="D73" s="6"/>
      <c r="E73" s="2"/>
      <c r="F73" s="7">
        <f t="shared" si="29"/>
        <v>0</v>
      </c>
      <c r="G73" s="2"/>
      <c r="H73" s="6">
        <v>0</v>
      </c>
      <c r="I73" s="2"/>
      <c r="J73" s="7">
        <f t="shared" si="30"/>
        <v>0</v>
      </c>
      <c r="K73" s="2"/>
      <c r="L73" s="6">
        <f t="shared" si="31"/>
        <v>0</v>
      </c>
      <c r="M73" s="2"/>
      <c r="N73" s="7">
        <f t="shared" si="32"/>
        <v>0</v>
      </c>
      <c r="O73" s="11"/>
      <c r="P73" s="6"/>
      <c r="Q73" s="2"/>
      <c r="R73" s="7">
        <f t="shared" si="33"/>
        <v>0</v>
      </c>
      <c r="S73" s="2"/>
      <c r="T73" s="6">
        <v>0</v>
      </c>
      <c r="U73" s="2"/>
      <c r="V73" s="7">
        <f t="shared" si="34"/>
        <v>0</v>
      </c>
      <c r="W73" s="2"/>
      <c r="X73" s="6">
        <f t="shared" si="35"/>
        <v>0</v>
      </c>
      <c r="Y73" s="2"/>
      <c r="Z73" s="7">
        <f t="shared" si="36"/>
        <v>0</v>
      </c>
    </row>
    <row r="74" spans="1:26" s="29" customFormat="1" outlineLevel="1" collapsed="1" x14ac:dyDescent="0.25">
      <c r="A74" s="28"/>
      <c r="B74" s="14" t="str">
        <f>CONCATENATE("     ","Insurance                                         ")</f>
        <v xml:space="preserve">     Insurance                                         </v>
      </c>
      <c r="C74" s="14"/>
      <c r="D74" s="1">
        <f>SUM(OSRRefD22_9x_0)</f>
        <v>161.18</v>
      </c>
      <c r="E74" s="1"/>
      <c r="F74" s="5">
        <f t="shared" ref="F74:F87" si="37">IF(D$12=0,0,D74/D$12)</f>
        <v>7.0701292958996942E-3</v>
      </c>
      <c r="G74" s="1"/>
      <c r="H74" s="1">
        <f>SUM(OSRRefH22_9x_0)</f>
        <v>176</v>
      </c>
      <c r="I74" s="1"/>
      <c r="J74" s="5">
        <f t="shared" ref="J74:J87" si="38">IF(H$12=0,0,H74/H$12)</f>
        <v>2.6658992108332452E-3</v>
      </c>
      <c r="K74" s="1"/>
      <c r="L74" s="1">
        <f t="shared" ref="L74:L87" si="39">+D74-H74</f>
        <v>-14.819999999999993</v>
      </c>
      <c r="M74" s="1"/>
      <c r="N74" s="5">
        <f t="shared" ref="N74:N87" si="40">IF(H74=0,0,L74/H74)</f>
        <v>-8.4204545454545421E-2</v>
      </c>
      <c r="O74" s="14"/>
      <c r="P74" s="1">
        <f>SUM(OSRRefP22_9x_0)</f>
        <v>322.36</v>
      </c>
      <c r="Q74" s="1"/>
      <c r="R74" s="5">
        <f t="shared" ref="R74:R87" si="41">IF(P$12=0,0,P74/P$12)</f>
        <v>6.4891079570079486E-3</v>
      </c>
      <c r="S74" s="1"/>
      <c r="T74" s="1">
        <f>SUM(OSRRefT22_9x_0)</f>
        <v>352</v>
      </c>
      <c r="U74" s="1"/>
      <c r="V74" s="5">
        <f t="shared" ref="V74:V87" si="42">IF(T$12=0,0,T74/T$12)</f>
        <v>3.062813786142508E-3</v>
      </c>
      <c r="W74" s="1"/>
      <c r="X74" s="1">
        <f t="shared" ref="X74:X87" si="43">+P74-T74</f>
        <v>-29.639999999999986</v>
      </c>
      <c r="Y74" s="1"/>
      <c r="Z74" s="5">
        <f t="shared" ref="Z74:Z87" si="44">IF(T74=0,0,X74/T74)</f>
        <v>-8.4204545454545421E-2</v>
      </c>
    </row>
    <row r="75" spans="1:26" s="24" customFormat="1" hidden="1" outlineLevel="2" x14ac:dyDescent="0.25">
      <c r="A75" s="27"/>
      <c r="B75" s="11" t="str">
        <f>CONCATENATE("          ", "6314", " - ", "LIABILITY INSURANCE")</f>
        <v xml:space="preserve">          6314 - LIABILITY INSURANCE</v>
      </c>
      <c r="C75" s="11"/>
      <c r="D75" s="6">
        <v>161.18</v>
      </c>
      <c r="E75" s="2"/>
      <c r="F75" s="7">
        <f t="shared" si="37"/>
        <v>7.0701292958996942E-3</v>
      </c>
      <c r="G75" s="2"/>
      <c r="H75" s="6">
        <v>176</v>
      </c>
      <c r="I75" s="2"/>
      <c r="J75" s="7">
        <f t="shared" si="38"/>
        <v>2.6658992108332452E-3</v>
      </c>
      <c r="K75" s="2"/>
      <c r="L75" s="6">
        <f t="shared" si="39"/>
        <v>-14.819999999999993</v>
      </c>
      <c r="M75" s="2"/>
      <c r="N75" s="7">
        <f t="shared" si="40"/>
        <v>-8.4204545454545421E-2</v>
      </c>
      <c r="O75" s="11"/>
      <c r="P75" s="6">
        <v>322.36</v>
      </c>
      <c r="Q75" s="2"/>
      <c r="R75" s="7">
        <f t="shared" si="41"/>
        <v>6.4891079570079486E-3</v>
      </c>
      <c r="S75" s="2"/>
      <c r="T75" s="6">
        <v>352</v>
      </c>
      <c r="U75" s="2"/>
      <c r="V75" s="7">
        <f t="shared" si="42"/>
        <v>3.062813786142508E-3</v>
      </c>
      <c r="W75" s="2"/>
      <c r="X75" s="6">
        <f t="shared" si="43"/>
        <v>-29.639999999999986</v>
      </c>
      <c r="Y75" s="2"/>
      <c r="Z75" s="7">
        <f t="shared" si="44"/>
        <v>-8.4204545454545421E-2</v>
      </c>
    </row>
    <row r="76" spans="1:26" s="29" customFormat="1" outlineLevel="1" collapsed="1" x14ac:dyDescent="0.25">
      <c r="A76" s="28"/>
      <c r="B76" s="14" t="str">
        <f>CONCATENATE("     ","Inventory Adjustment                              ")</f>
        <v xml:space="preserve">     Inventory Adjustment                              </v>
      </c>
      <c r="C76" s="14"/>
      <c r="D76" s="1">
        <f>SUM(OSRRefD22_10x_0)</f>
        <v>100</v>
      </c>
      <c r="E76" s="1"/>
      <c r="F76" s="5">
        <f t="shared" si="37"/>
        <v>4.3864805161308437E-3</v>
      </c>
      <c r="G76" s="1"/>
      <c r="H76" s="1">
        <f>SUM(OSRRefH22_10x_0)</f>
        <v>100</v>
      </c>
      <c r="I76" s="1"/>
      <c r="J76" s="5">
        <f t="shared" si="38"/>
        <v>1.5147154607007074E-3</v>
      </c>
      <c r="K76" s="1"/>
      <c r="L76" s="1">
        <f t="shared" si="39"/>
        <v>0</v>
      </c>
      <c r="M76" s="1"/>
      <c r="N76" s="5">
        <f t="shared" si="40"/>
        <v>0</v>
      </c>
      <c r="O76" s="14"/>
      <c r="P76" s="1">
        <f>SUM(OSRRefP22_10x_0)</f>
        <v>200</v>
      </c>
      <c r="Q76" s="1"/>
      <c r="R76" s="5">
        <f t="shared" si="41"/>
        <v>4.0260007178359279E-3</v>
      </c>
      <c r="S76" s="1"/>
      <c r="T76" s="1">
        <f>SUM(OSRRefT22_10x_0)</f>
        <v>200</v>
      </c>
      <c r="U76" s="1"/>
      <c r="V76" s="5">
        <f t="shared" si="42"/>
        <v>1.7402351057627886E-3</v>
      </c>
      <c r="W76" s="1"/>
      <c r="X76" s="1">
        <f t="shared" si="43"/>
        <v>0</v>
      </c>
      <c r="Y76" s="1"/>
      <c r="Z76" s="5">
        <f t="shared" si="44"/>
        <v>0</v>
      </c>
    </row>
    <row r="77" spans="1:26" s="24" customFormat="1" hidden="1" outlineLevel="2" x14ac:dyDescent="0.25">
      <c r="A77" s="27"/>
      <c r="B77" s="11" t="str">
        <f>CONCATENATE("          ", "6408", " - ", "INVENTORY ADJUSTMENT")</f>
        <v xml:space="preserve">          6408 - INVENTORY ADJUSTMENT</v>
      </c>
      <c r="C77" s="11"/>
      <c r="D77" s="6">
        <v>100</v>
      </c>
      <c r="E77" s="2"/>
      <c r="F77" s="7">
        <f t="shared" si="37"/>
        <v>4.3864805161308437E-3</v>
      </c>
      <c r="G77" s="2"/>
      <c r="H77" s="6">
        <v>100</v>
      </c>
      <c r="I77" s="2"/>
      <c r="J77" s="7">
        <f t="shared" si="38"/>
        <v>1.5147154607007074E-3</v>
      </c>
      <c r="K77" s="2"/>
      <c r="L77" s="6">
        <f t="shared" si="39"/>
        <v>0</v>
      </c>
      <c r="M77" s="2"/>
      <c r="N77" s="7">
        <f t="shared" si="40"/>
        <v>0</v>
      </c>
      <c r="O77" s="11"/>
      <c r="P77" s="6">
        <v>200</v>
      </c>
      <c r="Q77" s="2"/>
      <c r="R77" s="7">
        <f t="shared" si="41"/>
        <v>4.0260007178359279E-3</v>
      </c>
      <c r="S77" s="2"/>
      <c r="T77" s="6">
        <v>200</v>
      </c>
      <c r="U77" s="2"/>
      <c r="V77" s="7">
        <f t="shared" si="42"/>
        <v>1.7402351057627886E-3</v>
      </c>
      <c r="W77" s="2"/>
      <c r="X77" s="6">
        <f t="shared" si="43"/>
        <v>0</v>
      </c>
      <c r="Y77" s="2"/>
      <c r="Z77" s="7">
        <f t="shared" si="44"/>
        <v>0</v>
      </c>
    </row>
    <row r="78" spans="1:26" s="29" customFormat="1" outlineLevel="1" collapsed="1" x14ac:dyDescent="0.25">
      <c r="A78" s="28"/>
      <c r="B78" s="14" t="str">
        <f>CONCATENATE("     ","Professional Services                             ")</f>
        <v xml:space="preserve">     Professional Services                             </v>
      </c>
      <c r="C78" s="14"/>
      <c r="D78" s="1">
        <f>SUM(OSRRefD22_11x_0)</f>
        <v>0</v>
      </c>
      <c r="E78" s="1"/>
      <c r="F78" s="5">
        <f t="shared" si="37"/>
        <v>0</v>
      </c>
      <c r="G78" s="1"/>
      <c r="H78" s="1">
        <f>SUM(OSRRefH22_11x_0)</f>
        <v>0</v>
      </c>
      <c r="I78" s="1"/>
      <c r="J78" s="5">
        <f t="shared" si="38"/>
        <v>0</v>
      </c>
      <c r="K78" s="1"/>
      <c r="L78" s="1">
        <f t="shared" si="39"/>
        <v>0</v>
      </c>
      <c r="M78" s="1"/>
      <c r="N78" s="5">
        <f t="shared" si="40"/>
        <v>0</v>
      </c>
      <c r="O78" s="14"/>
      <c r="P78" s="1">
        <f>SUM(OSRRefP22_11x_0)</f>
        <v>0</v>
      </c>
      <c r="Q78" s="1"/>
      <c r="R78" s="5">
        <f t="shared" si="41"/>
        <v>0</v>
      </c>
      <c r="S78" s="1"/>
      <c r="T78" s="1">
        <f>SUM(OSRRefT22_11x_0)</f>
        <v>750</v>
      </c>
      <c r="U78" s="1"/>
      <c r="V78" s="5">
        <f t="shared" si="42"/>
        <v>6.5258816466104569E-3</v>
      </c>
      <c r="W78" s="1"/>
      <c r="X78" s="1">
        <f t="shared" si="43"/>
        <v>-750</v>
      </c>
      <c r="Y78" s="1"/>
      <c r="Z78" s="5">
        <f t="shared" si="44"/>
        <v>-1</v>
      </c>
    </row>
    <row r="79" spans="1:26" s="24" customFormat="1" hidden="1" outlineLevel="2" x14ac:dyDescent="0.25">
      <c r="A79" s="27"/>
      <c r="B79" s="11" t="str">
        <f>CONCATENATE("          ", "6336", " - ", "PROFESSIONAL SERVICES")</f>
        <v xml:space="preserve">          6336 - PROFESSIONAL SERVICES</v>
      </c>
      <c r="C79" s="11"/>
      <c r="D79" s="6"/>
      <c r="E79" s="2"/>
      <c r="F79" s="7">
        <f t="shared" si="37"/>
        <v>0</v>
      </c>
      <c r="G79" s="2"/>
      <c r="H79" s="6">
        <v>0</v>
      </c>
      <c r="I79" s="2"/>
      <c r="J79" s="7">
        <f t="shared" si="38"/>
        <v>0</v>
      </c>
      <c r="K79" s="2"/>
      <c r="L79" s="6">
        <f t="shared" si="39"/>
        <v>0</v>
      </c>
      <c r="M79" s="2"/>
      <c r="N79" s="7">
        <f t="shared" si="40"/>
        <v>0</v>
      </c>
      <c r="O79" s="11"/>
      <c r="P79" s="6"/>
      <c r="Q79" s="2"/>
      <c r="R79" s="7">
        <f t="shared" si="41"/>
        <v>0</v>
      </c>
      <c r="S79" s="2"/>
      <c r="T79" s="6">
        <v>750</v>
      </c>
      <c r="U79" s="2"/>
      <c r="V79" s="7">
        <f t="shared" si="42"/>
        <v>6.5258816466104569E-3</v>
      </c>
      <c r="W79" s="2"/>
      <c r="X79" s="6">
        <f t="shared" si="43"/>
        <v>-750</v>
      </c>
      <c r="Y79" s="2"/>
      <c r="Z79" s="7">
        <f t="shared" si="44"/>
        <v>-1</v>
      </c>
    </row>
    <row r="80" spans="1:26" s="29" customFormat="1" outlineLevel="1" collapsed="1" x14ac:dyDescent="0.25">
      <c r="A80" s="28"/>
      <c r="B80" s="14" t="str">
        <f>CONCATENATE("     ","Rent                                              ")</f>
        <v xml:space="preserve">     Rent                                              </v>
      </c>
      <c r="C80" s="14"/>
      <c r="D80" s="1">
        <f>SUM(OSRRefD22_12x_0)</f>
        <v>6900</v>
      </c>
      <c r="E80" s="1"/>
      <c r="F80" s="5">
        <f t="shared" si="37"/>
        <v>0.3026671556130282</v>
      </c>
      <c r="G80" s="1"/>
      <c r="H80" s="1">
        <f>SUM(OSRRefH22_12x_0)</f>
        <v>6900</v>
      </c>
      <c r="I80" s="1"/>
      <c r="J80" s="5">
        <f t="shared" si="38"/>
        <v>0.10451536678834882</v>
      </c>
      <c r="K80" s="1"/>
      <c r="L80" s="1">
        <f t="shared" si="39"/>
        <v>0</v>
      </c>
      <c r="M80" s="1"/>
      <c r="N80" s="5">
        <f t="shared" si="40"/>
        <v>0</v>
      </c>
      <c r="O80" s="14"/>
      <c r="P80" s="1">
        <f>SUM(OSRRefP22_12x_0)</f>
        <v>13800</v>
      </c>
      <c r="Q80" s="1"/>
      <c r="R80" s="5">
        <f t="shared" si="41"/>
        <v>0.27779404953067899</v>
      </c>
      <c r="S80" s="1"/>
      <c r="T80" s="1">
        <f>SUM(OSRRefT22_12x_0)</f>
        <v>13800</v>
      </c>
      <c r="U80" s="1"/>
      <c r="V80" s="5">
        <f t="shared" si="42"/>
        <v>0.12007622229763242</v>
      </c>
      <c r="W80" s="1"/>
      <c r="X80" s="1">
        <f t="shared" si="43"/>
        <v>0</v>
      </c>
      <c r="Y80" s="1"/>
      <c r="Z80" s="5">
        <f t="shared" si="44"/>
        <v>0</v>
      </c>
    </row>
    <row r="81" spans="1:26" s="24" customFormat="1" hidden="1" outlineLevel="2" x14ac:dyDescent="0.25">
      <c r="A81" s="27"/>
      <c r="B81" s="11" t="str">
        <f>CONCATENATE("          ", "6273", " - ", "RENT")</f>
        <v xml:space="preserve">          6273 - RENT</v>
      </c>
      <c r="C81" s="11"/>
      <c r="D81" s="6">
        <v>6900</v>
      </c>
      <c r="E81" s="2"/>
      <c r="F81" s="7">
        <f t="shared" si="37"/>
        <v>0.3026671556130282</v>
      </c>
      <c r="G81" s="2"/>
      <c r="H81" s="6">
        <v>6900</v>
      </c>
      <c r="I81" s="2"/>
      <c r="J81" s="7">
        <f t="shared" si="38"/>
        <v>0.10451536678834882</v>
      </c>
      <c r="K81" s="2"/>
      <c r="L81" s="6">
        <f t="shared" si="39"/>
        <v>0</v>
      </c>
      <c r="M81" s="2"/>
      <c r="N81" s="7">
        <f t="shared" si="40"/>
        <v>0</v>
      </c>
      <c r="O81" s="11"/>
      <c r="P81" s="6">
        <v>13800</v>
      </c>
      <c r="Q81" s="2"/>
      <c r="R81" s="7">
        <f t="shared" si="41"/>
        <v>0.27779404953067899</v>
      </c>
      <c r="S81" s="2"/>
      <c r="T81" s="6">
        <v>13800</v>
      </c>
      <c r="U81" s="2"/>
      <c r="V81" s="7">
        <f t="shared" si="42"/>
        <v>0.12007622229763242</v>
      </c>
      <c r="W81" s="2"/>
      <c r="X81" s="6">
        <f t="shared" si="43"/>
        <v>0</v>
      </c>
      <c r="Y81" s="2"/>
      <c r="Z81" s="7">
        <f t="shared" si="44"/>
        <v>0</v>
      </c>
    </row>
    <row r="82" spans="1:26" s="29" customFormat="1" outlineLevel="1" collapsed="1" x14ac:dyDescent="0.25">
      <c r="A82" s="28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SUM(OSRRefD22_13x_0)</f>
        <v>0</v>
      </c>
      <c r="E82" s="1"/>
      <c r="F82" s="5">
        <f t="shared" si="37"/>
        <v>0</v>
      </c>
      <c r="G82" s="1"/>
      <c r="H82" s="1">
        <f>SUM(OSRRefH22_13x_0)</f>
        <v>100</v>
      </c>
      <c r="I82" s="1"/>
      <c r="J82" s="5">
        <f t="shared" si="38"/>
        <v>1.5147154607007074E-3</v>
      </c>
      <c r="K82" s="1"/>
      <c r="L82" s="1">
        <f t="shared" si="39"/>
        <v>-100</v>
      </c>
      <c r="M82" s="1"/>
      <c r="N82" s="5">
        <f t="shared" si="40"/>
        <v>-1</v>
      </c>
      <c r="O82" s="14"/>
      <c r="P82" s="1">
        <f>SUM(OSRRefP22_13x_0)</f>
        <v>0</v>
      </c>
      <c r="Q82" s="1"/>
      <c r="R82" s="5">
        <f t="shared" si="41"/>
        <v>0</v>
      </c>
      <c r="S82" s="1"/>
      <c r="T82" s="1">
        <f>SUM(OSRRefT22_13x_0)</f>
        <v>200</v>
      </c>
      <c r="U82" s="1"/>
      <c r="V82" s="5">
        <f t="shared" si="42"/>
        <v>1.7402351057627886E-3</v>
      </c>
      <c r="W82" s="1"/>
      <c r="X82" s="1">
        <f t="shared" si="43"/>
        <v>-200</v>
      </c>
      <c r="Y82" s="1"/>
      <c r="Z82" s="5">
        <f t="shared" si="44"/>
        <v>-1</v>
      </c>
    </row>
    <row r="83" spans="1:26" s="24" customFormat="1" hidden="1" outlineLevel="2" x14ac:dyDescent="0.25">
      <c r="A83" s="27"/>
      <c r="B83" s="11" t="str">
        <f>CONCATENATE("          ", "6375", " - ", "OUTSIDE REPAIRS &amp; MAINTENANCE")</f>
        <v xml:space="preserve">          6375 - OUTSIDE REPAIRS &amp; MAINTENANCE</v>
      </c>
      <c r="C83" s="11"/>
      <c r="D83" s="6"/>
      <c r="E83" s="2"/>
      <c r="F83" s="7">
        <f t="shared" si="37"/>
        <v>0</v>
      </c>
      <c r="G83" s="2"/>
      <c r="H83" s="6">
        <v>100</v>
      </c>
      <c r="I83" s="2"/>
      <c r="J83" s="7">
        <f t="shared" si="38"/>
        <v>1.5147154607007074E-3</v>
      </c>
      <c r="K83" s="2"/>
      <c r="L83" s="6">
        <f t="shared" si="39"/>
        <v>-100</v>
      </c>
      <c r="M83" s="2"/>
      <c r="N83" s="7">
        <f t="shared" si="40"/>
        <v>-1</v>
      </c>
      <c r="O83" s="11"/>
      <c r="P83" s="6"/>
      <c r="Q83" s="2"/>
      <c r="R83" s="7">
        <f t="shared" si="41"/>
        <v>0</v>
      </c>
      <c r="S83" s="2"/>
      <c r="T83" s="6">
        <v>200</v>
      </c>
      <c r="U83" s="2"/>
      <c r="V83" s="7">
        <f t="shared" si="42"/>
        <v>1.7402351057627886E-3</v>
      </c>
      <c r="W83" s="2"/>
      <c r="X83" s="6">
        <f t="shared" si="43"/>
        <v>-200</v>
      </c>
      <c r="Y83" s="2"/>
      <c r="Z83" s="7">
        <f t="shared" si="44"/>
        <v>-1</v>
      </c>
    </row>
    <row r="84" spans="1:26" s="29" customFormat="1" outlineLevel="1" collapsed="1" x14ac:dyDescent="0.25">
      <c r="A84" s="28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SUM(OSRRefD22_14x_0)</f>
        <v>81.84</v>
      </c>
      <c r="E84" s="1"/>
      <c r="F84" s="5">
        <f t="shared" si="37"/>
        <v>3.5898956544014823E-3</v>
      </c>
      <c r="G84" s="1"/>
      <c r="H84" s="1">
        <f>SUM(OSRRefH22_14x_0)</f>
        <v>155</v>
      </c>
      <c r="I84" s="1"/>
      <c r="J84" s="5">
        <f t="shared" si="38"/>
        <v>2.3478089640860964E-3</v>
      </c>
      <c r="K84" s="1"/>
      <c r="L84" s="1">
        <f t="shared" si="39"/>
        <v>-73.16</v>
      </c>
      <c r="M84" s="1"/>
      <c r="N84" s="5">
        <f t="shared" si="40"/>
        <v>-0.47199999999999998</v>
      </c>
      <c r="O84" s="14"/>
      <c r="P84" s="1">
        <f>SUM(OSRRefP22_14x_0)</f>
        <v>-251.60000000000002</v>
      </c>
      <c r="Q84" s="1"/>
      <c r="R84" s="5">
        <f t="shared" si="41"/>
        <v>-5.0647089030375972E-3</v>
      </c>
      <c r="S84" s="1"/>
      <c r="T84" s="1">
        <f>SUM(OSRRefT22_14x_0)</f>
        <v>310</v>
      </c>
      <c r="U84" s="1"/>
      <c r="V84" s="5">
        <f t="shared" si="42"/>
        <v>2.6973644139323223E-3</v>
      </c>
      <c r="W84" s="1"/>
      <c r="X84" s="1">
        <f t="shared" si="43"/>
        <v>-561.6</v>
      </c>
      <c r="Y84" s="1"/>
      <c r="Z84" s="5">
        <f t="shared" si="44"/>
        <v>-1.8116129032258066</v>
      </c>
    </row>
    <row r="85" spans="1:26" s="24" customFormat="1" hidden="1" outlineLevel="2" x14ac:dyDescent="0.25">
      <c r="A85" s="27"/>
      <c r="B85" s="11" t="str">
        <f>CONCATENATE("          ", "6283", " - ", "PLANT SERVICE")</f>
        <v xml:space="preserve">          6283 - PLANT SERVICE</v>
      </c>
      <c r="C85" s="11"/>
      <c r="D85" s="6"/>
      <c r="E85" s="2"/>
      <c r="F85" s="7">
        <f t="shared" si="37"/>
        <v>0</v>
      </c>
      <c r="G85" s="2"/>
      <c r="H85" s="6">
        <v>0</v>
      </c>
      <c r="I85" s="2"/>
      <c r="J85" s="7">
        <f t="shared" si="38"/>
        <v>0</v>
      </c>
      <c r="K85" s="2"/>
      <c r="L85" s="6">
        <f t="shared" si="39"/>
        <v>0</v>
      </c>
      <c r="M85" s="2"/>
      <c r="N85" s="7">
        <f t="shared" si="40"/>
        <v>0</v>
      </c>
      <c r="O85" s="11"/>
      <c r="P85" s="6"/>
      <c r="Q85" s="2"/>
      <c r="R85" s="7">
        <f t="shared" si="41"/>
        <v>0</v>
      </c>
      <c r="S85" s="2"/>
      <c r="T85" s="6">
        <v>0</v>
      </c>
      <c r="U85" s="2"/>
      <c r="V85" s="7">
        <f t="shared" si="42"/>
        <v>0</v>
      </c>
      <c r="W85" s="2"/>
      <c r="X85" s="6">
        <f t="shared" si="43"/>
        <v>0</v>
      </c>
      <c r="Y85" s="2"/>
      <c r="Z85" s="7">
        <f t="shared" si="44"/>
        <v>0</v>
      </c>
    </row>
    <row r="86" spans="1:26" s="24" customFormat="1" hidden="1" outlineLevel="2" x14ac:dyDescent="0.25">
      <c r="A86" s="27"/>
      <c r="B86" s="11" t="str">
        <f>CONCATENATE("          ", "6284", " - ", "TRASH REMOVAL EXPENSE")</f>
        <v xml:space="preserve">          6284 - TRASH REMOVAL EXPENSE</v>
      </c>
      <c r="C86" s="11"/>
      <c r="D86" s="6">
        <v>142.57</v>
      </c>
      <c r="E86" s="2"/>
      <c r="F86" s="7">
        <f t="shared" si="37"/>
        <v>6.2538052718477434E-3</v>
      </c>
      <c r="G86" s="2"/>
      <c r="H86" s="6">
        <v>55</v>
      </c>
      <c r="I86" s="2"/>
      <c r="J86" s="7">
        <f t="shared" si="38"/>
        <v>8.3309350338538906E-4</v>
      </c>
      <c r="K86" s="2"/>
      <c r="L86" s="6">
        <f t="shared" si="39"/>
        <v>87.57</v>
      </c>
      <c r="M86" s="2"/>
      <c r="N86" s="7">
        <f t="shared" si="40"/>
        <v>1.5921818181818181</v>
      </c>
      <c r="O86" s="11"/>
      <c r="P86" s="6">
        <v>285.14</v>
      </c>
      <c r="Q86" s="2"/>
      <c r="R86" s="7">
        <f t="shared" si="41"/>
        <v>5.7398692234186819E-3</v>
      </c>
      <c r="S86" s="2"/>
      <c r="T86" s="6">
        <v>110</v>
      </c>
      <c r="U86" s="2"/>
      <c r="V86" s="7">
        <f t="shared" si="42"/>
        <v>9.5712930816953365E-4</v>
      </c>
      <c r="W86" s="2"/>
      <c r="X86" s="6">
        <f t="shared" si="43"/>
        <v>175.14</v>
      </c>
      <c r="Y86" s="2"/>
      <c r="Z86" s="7">
        <f t="shared" si="44"/>
        <v>1.5921818181818181</v>
      </c>
    </row>
    <row r="87" spans="1:26" s="24" customFormat="1" hidden="1" outlineLevel="2" x14ac:dyDescent="0.25">
      <c r="A87" s="27"/>
      <c r="B87" s="11" t="str">
        <f>CONCATENATE("          ", "6285", " - ", "JANITORIAL SERVICES")</f>
        <v xml:space="preserve">          6285 - JANITORIAL SERVICES</v>
      </c>
      <c r="C87" s="11"/>
      <c r="D87" s="6">
        <v>-60.73</v>
      </c>
      <c r="E87" s="2"/>
      <c r="F87" s="7">
        <f t="shared" si="37"/>
        <v>-2.6639096174462611E-3</v>
      </c>
      <c r="G87" s="2"/>
      <c r="H87" s="6">
        <v>100</v>
      </c>
      <c r="I87" s="2"/>
      <c r="J87" s="7">
        <f t="shared" si="38"/>
        <v>1.5147154607007074E-3</v>
      </c>
      <c r="K87" s="2"/>
      <c r="L87" s="6">
        <f t="shared" si="39"/>
        <v>-160.72999999999999</v>
      </c>
      <c r="M87" s="2"/>
      <c r="N87" s="7">
        <f t="shared" si="40"/>
        <v>-1.6073</v>
      </c>
      <c r="O87" s="11"/>
      <c r="P87" s="6">
        <v>-536.74</v>
      </c>
      <c r="Q87" s="2"/>
      <c r="R87" s="7">
        <f t="shared" si="41"/>
        <v>-1.080457812645628E-2</v>
      </c>
      <c r="S87" s="2"/>
      <c r="T87" s="6">
        <v>200</v>
      </c>
      <c r="U87" s="2"/>
      <c r="V87" s="7">
        <f t="shared" si="42"/>
        <v>1.7402351057627886E-3</v>
      </c>
      <c r="W87" s="2"/>
      <c r="X87" s="6">
        <f t="shared" si="43"/>
        <v>-736.74</v>
      </c>
      <c r="Y87" s="2"/>
      <c r="Z87" s="7">
        <f t="shared" si="44"/>
        <v>-3.6837</v>
      </c>
    </row>
    <row r="88" spans="1:26" s="29" customFormat="1" outlineLevel="1" collapsed="1" x14ac:dyDescent="0.25">
      <c r="A88" s="28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SUM(OSRRefD22_15x_0)</f>
        <v>0</v>
      </c>
      <c r="E88" s="1"/>
      <c r="F88" s="5">
        <f t="shared" ref="F88:F90" si="45">IF(D$12=0,0,D88/D$12)</f>
        <v>0</v>
      </c>
      <c r="G88" s="1"/>
      <c r="H88" s="1">
        <f>SUM(OSRRefH22_15x_0)</f>
        <v>0</v>
      </c>
      <c r="I88" s="1"/>
      <c r="J88" s="5">
        <f t="shared" ref="J88:J90" si="46">IF(H$12=0,0,H88/H$12)</f>
        <v>0</v>
      </c>
      <c r="K88" s="1"/>
      <c r="L88" s="1">
        <f t="shared" ref="L88:L90" si="47">+D88-H88</f>
        <v>0</v>
      </c>
      <c r="M88" s="1"/>
      <c r="N88" s="5">
        <f t="shared" ref="N88:N90" si="48">IF(H88=0,0,L88/H88)</f>
        <v>0</v>
      </c>
      <c r="O88" s="14"/>
      <c r="P88" s="1">
        <f>SUM(OSRRefP22_15x_0)</f>
        <v>75</v>
      </c>
      <c r="Q88" s="1"/>
      <c r="R88" s="5">
        <f t="shared" ref="R88:R90" si="49">IF(P$12=0,0,P88/P$12)</f>
        <v>1.509750269188473E-3</v>
      </c>
      <c r="S88" s="1"/>
      <c r="T88" s="1">
        <f>SUM(OSRRefT22_15x_0)</f>
        <v>395</v>
      </c>
      <c r="U88" s="1"/>
      <c r="V88" s="5">
        <f t="shared" ref="V88:V90" si="50">IF(T$12=0,0,T88/T$12)</f>
        <v>3.4369643338815073E-3</v>
      </c>
      <c r="W88" s="1"/>
      <c r="X88" s="1">
        <f t="shared" ref="X88:X90" si="51">+P88-T88</f>
        <v>-320</v>
      </c>
      <c r="Y88" s="1"/>
      <c r="Z88" s="5">
        <f t="shared" ref="Z88:Z90" si="52">IF(T88=0,0,X88/T88)</f>
        <v>-0.810126582278481</v>
      </c>
    </row>
    <row r="89" spans="1:26" s="24" customFormat="1" hidden="1" outlineLevel="2" x14ac:dyDescent="0.25">
      <c r="A89" s="27"/>
      <c r="B89" s="11" t="str">
        <f>CONCATENATE("          ", "6258", " - ", "MEMBERSHIP DUES")</f>
        <v xml:space="preserve">          6258 - MEMBERSHIP DUES</v>
      </c>
      <c r="C89" s="11"/>
      <c r="D89" s="6"/>
      <c r="E89" s="2"/>
      <c r="F89" s="7">
        <f t="shared" si="45"/>
        <v>0</v>
      </c>
      <c r="G89" s="2"/>
      <c r="H89" s="6">
        <v>0</v>
      </c>
      <c r="I89" s="2"/>
      <c r="J89" s="7">
        <f t="shared" si="46"/>
        <v>0</v>
      </c>
      <c r="K89" s="2"/>
      <c r="L89" s="6">
        <f t="shared" si="47"/>
        <v>0</v>
      </c>
      <c r="M89" s="2"/>
      <c r="N89" s="7">
        <f t="shared" si="48"/>
        <v>0</v>
      </c>
      <c r="O89" s="11"/>
      <c r="P89" s="6"/>
      <c r="Q89" s="2"/>
      <c r="R89" s="7">
        <f t="shared" si="49"/>
        <v>0</v>
      </c>
      <c r="S89" s="2"/>
      <c r="T89" s="6">
        <v>395</v>
      </c>
      <c r="U89" s="2"/>
      <c r="V89" s="7">
        <f t="shared" si="50"/>
        <v>3.4369643338815073E-3</v>
      </c>
      <c r="W89" s="2"/>
      <c r="X89" s="6">
        <f t="shared" si="51"/>
        <v>-395</v>
      </c>
      <c r="Y89" s="2"/>
      <c r="Z89" s="7">
        <f t="shared" si="52"/>
        <v>-1</v>
      </c>
    </row>
    <row r="90" spans="1:26" s="24" customFormat="1" hidden="1" outlineLevel="2" x14ac:dyDescent="0.25">
      <c r="A90" s="27"/>
      <c r="B90" s="11" t="str">
        <f>CONCATENATE("          ", "6275", " - ", "SUBSCRIPTIONS")</f>
        <v xml:space="preserve">          6275 - SUBSCRIPTIONS</v>
      </c>
      <c r="C90" s="11"/>
      <c r="D90" s="6"/>
      <c r="E90" s="2"/>
      <c r="F90" s="7">
        <f t="shared" si="45"/>
        <v>0</v>
      </c>
      <c r="G90" s="2"/>
      <c r="H90" s="6">
        <v>0</v>
      </c>
      <c r="I90" s="2"/>
      <c r="J90" s="7">
        <f t="shared" si="46"/>
        <v>0</v>
      </c>
      <c r="K90" s="2"/>
      <c r="L90" s="6">
        <f t="shared" si="47"/>
        <v>0</v>
      </c>
      <c r="M90" s="2"/>
      <c r="N90" s="7">
        <f t="shared" si="48"/>
        <v>0</v>
      </c>
      <c r="O90" s="11"/>
      <c r="P90" s="6">
        <v>75</v>
      </c>
      <c r="Q90" s="2"/>
      <c r="R90" s="7">
        <f t="shared" si="49"/>
        <v>1.509750269188473E-3</v>
      </c>
      <c r="S90" s="2"/>
      <c r="T90" s="6">
        <v>0</v>
      </c>
      <c r="U90" s="2"/>
      <c r="V90" s="7">
        <f t="shared" si="50"/>
        <v>0</v>
      </c>
      <c r="W90" s="2"/>
      <c r="X90" s="6">
        <f t="shared" si="51"/>
        <v>75</v>
      </c>
      <c r="Y90" s="2"/>
      <c r="Z90" s="7">
        <f t="shared" si="52"/>
        <v>0</v>
      </c>
    </row>
    <row r="91" spans="1:26" s="29" customFormat="1" outlineLevel="1" collapsed="1" x14ac:dyDescent="0.25">
      <c r="A91" s="28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SUM(OSRRefD22_16x_0)</f>
        <v>4.96</v>
      </c>
      <c r="E91" s="1"/>
      <c r="F91" s="5">
        <f t="shared" ref="F91:F97" si="53">IF(D$12=0,0,D91/D$12)</f>
        <v>2.1756943360008984E-4</v>
      </c>
      <c r="G91" s="1"/>
      <c r="H91" s="1">
        <f>SUM(OSRRefH22_16x_0)</f>
        <v>160</v>
      </c>
      <c r="I91" s="1"/>
      <c r="J91" s="5">
        <f t="shared" ref="J91:J97" si="54">IF(H$12=0,0,H91/H$12)</f>
        <v>2.4235447371211316E-3</v>
      </c>
      <c r="K91" s="1"/>
      <c r="L91" s="1">
        <f t="shared" ref="L91:L97" si="55">+D91-H91</f>
        <v>-155.04</v>
      </c>
      <c r="M91" s="1"/>
      <c r="N91" s="5">
        <f t="shared" ref="N91:N97" si="56">IF(H91=0,0,L91/H91)</f>
        <v>-0.96899999999999997</v>
      </c>
      <c r="O91" s="14"/>
      <c r="P91" s="1">
        <f>SUM(OSRRefP22_16x_0)</f>
        <v>144.27000000000001</v>
      </c>
      <c r="Q91" s="1"/>
      <c r="R91" s="5">
        <f t="shared" ref="R91:R97" si="57">IF(P$12=0,0,P91/P$12)</f>
        <v>2.9041556178109468E-3</v>
      </c>
      <c r="S91" s="1"/>
      <c r="T91" s="1">
        <f>SUM(OSRRefT22_16x_0)</f>
        <v>345</v>
      </c>
      <c r="U91" s="1"/>
      <c r="V91" s="5">
        <f t="shared" ref="V91:V97" si="58">IF(T$12=0,0,T91/T$12)</f>
        <v>3.0019055574408101E-3</v>
      </c>
      <c r="W91" s="1"/>
      <c r="X91" s="1">
        <f t="shared" ref="X91:X97" si="59">+P91-T91</f>
        <v>-200.73</v>
      </c>
      <c r="Y91" s="1"/>
      <c r="Z91" s="5">
        <f t="shared" ref="Z91:Z97" si="60">IF(T91=0,0,X91/T91)</f>
        <v>-0.58182608695652172</v>
      </c>
    </row>
    <row r="92" spans="1:26" s="24" customFormat="1" hidden="1" outlineLevel="2" x14ac:dyDescent="0.25">
      <c r="A92" s="27"/>
      <c r="B92" s="11" t="str">
        <f>CONCATENATE("          ", "6234", " - ", "EXPENDABLE SUPPLIES &amp; EQUIPMEN")</f>
        <v xml:space="preserve">          6234 - EXPENDABLE SUPPLIES &amp; EQUIPMEN</v>
      </c>
      <c r="C92" s="11"/>
      <c r="D92" s="6"/>
      <c r="E92" s="2"/>
      <c r="F92" s="7">
        <f t="shared" si="53"/>
        <v>0</v>
      </c>
      <c r="G92" s="2"/>
      <c r="H92" s="6">
        <v>0</v>
      </c>
      <c r="I92" s="2"/>
      <c r="J92" s="7">
        <f t="shared" si="54"/>
        <v>0</v>
      </c>
      <c r="K92" s="2"/>
      <c r="L92" s="6">
        <f t="shared" si="55"/>
        <v>0</v>
      </c>
      <c r="M92" s="2"/>
      <c r="N92" s="7">
        <f t="shared" si="56"/>
        <v>0</v>
      </c>
      <c r="O92" s="11"/>
      <c r="P92" s="6"/>
      <c r="Q92" s="2"/>
      <c r="R92" s="7">
        <f t="shared" si="57"/>
        <v>0</v>
      </c>
      <c r="S92" s="2"/>
      <c r="T92" s="6">
        <v>0</v>
      </c>
      <c r="U92" s="2"/>
      <c r="V92" s="7">
        <f t="shared" si="58"/>
        <v>0</v>
      </c>
      <c r="W92" s="2"/>
      <c r="X92" s="6">
        <f t="shared" si="59"/>
        <v>0</v>
      </c>
      <c r="Y92" s="2"/>
      <c r="Z92" s="7">
        <f t="shared" si="60"/>
        <v>0</v>
      </c>
    </row>
    <row r="93" spans="1:26" s="24" customFormat="1" hidden="1" outlineLevel="2" x14ac:dyDescent="0.25">
      <c r="A93" s="27"/>
      <c r="B93" s="11" t="str">
        <f>CONCATENATE("          ", "6235", " - ", "COVID-19 EXPENSES")</f>
        <v xml:space="preserve">          6235 - COVID-19 EXPENSES</v>
      </c>
      <c r="C93" s="11"/>
      <c r="D93" s="6"/>
      <c r="E93" s="2"/>
      <c r="F93" s="7">
        <f t="shared" si="53"/>
        <v>0</v>
      </c>
      <c r="G93" s="2"/>
      <c r="H93" s="6">
        <v>100</v>
      </c>
      <c r="I93" s="2"/>
      <c r="J93" s="7">
        <f t="shared" si="54"/>
        <v>1.5147154607007074E-3</v>
      </c>
      <c r="K93" s="2"/>
      <c r="L93" s="6">
        <f t="shared" si="55"/>
        <v>-100</v>
      </c>
      <c r="M93" s="2"/>
      <c r="N93" s="7">
        <f t="shared" si="56"/>
        <v>-1</v>
      </c>
      <c r="O93" s="11"/>
      <c r="P93" s="6"/>
      <c r="Q93" s="2"/>
      <c r="R93" s="7">
        <f t="shared" si="57"/>
        <v>0</v>
      </c>
      <c r="S93" s="2"/>
      <c r="T93" s="6">
        <v>200</v>
      </c>
      <c r="U93" s="2"/>
      <c r="V93" s="7">
        <f t="shared" si="58"/>
        <v>1.7402351057627886E-3</v>
      </c>
      <c r="W93" s="2"/>
      <c r="X93" s="6">
        <f t="shared" si="59"/>
        <v>-200</v>
      </c>
      <c r="Y93" s="2"/>
      <c r="Z93" s="7">
        <f t="shared" si="60"/>
        <v>-1</v>
      </c>
    </row>
    <row r="94" spans="1:26" s="24" customFormat="1" hidden="1" outlineLevel="2" x14ac:dyDescent="0.25">
      <c r="A94" s="27"/>
      <c r="B94" s="11" t="str">
        <f>CONCATENATE("          ", "6237", " - ", "JANITORIAL SUPPLIES")</f>
        <v xml:space="preserve">          6237 - JANITORIAL SUPPLIES</v>
      </c>
      <c r="C94" s="11"/>
      <c r="D94" s="6"/>
      <c r="E94" s="2"/>
      <c r="F94" s="7">
        <f t="shared" si="53"/>
        <v>0</v>
      </c>
      <c r="G94" s="2"/>
      <c r="H94" s="6">
        <v>10</v>
      </c>
      <c r="I94" s="2"/>
      <c r="J94" s="7">
        <f t="shared" si="54"/>
        <v>1.5147154607007073E-4</v>
      </c>
      <c r="K94" s="2"/>
      <c r="L94" s="6">
        <f t="shared" si="55"/>
        <v>-10</v>
      </c>
      <c r="M94" s="2"/>
      <c r="N94" s="7">
        <f t="shared" si="56"/>
        <v>-1</v>
      </c>
      <c r="O94" s="11"/>
      <c r="P94" s="6">
        <v>139.31</v>
      </c>
      <c r="Q94" s="2"/>
      <c r="R94" s="7">
        <f t="shared" si="57"/>
        <v>2.8043108000086153E-3</v>
      </c>
      <c r="S94" s="2"/>
      <c r="T94" s="6">
        <v>20</v>
      </c>
      <c r="U94" s="2"/>
      <c r="V94" s="7">
        <f t="shared" si="58"/>
        <v>1.7402351057627886E-4</v>
      </c>
      <c r="W94" s="2"/>
      <c r="X94" s="6">
        <f t="shared" si="59"/>
        <v>119.31</v>
      </c>
      <c r="Y94" s="2"/>
      <c r="Z94" s="7">
        <f t="shared" si="60"/>
        <v>5.9655000000000005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6">
        <v>4.96</v>
      </c>
      <c r="E95" s="2"/>
      <c r="F95" s="7">
        <f t="shared" si="53"/>
        <v>2.1756943360008984E-4</v>
      </c>
      <c r="G95" s="2"/>
      <c r="H95" s="6">
        <v>25</v>
      </c>
      <c r="I95" s="2"/>
      <c r="J95" s="7">
        <f t="shared" si="54"/>
        <v>3.7867886517517686E-4</v>
      </c>
      <c r="K95" s="2"/>
      <c r="L95" s="6">
        <f t="shared" si="55"/>
        <v>-20.04</v>
      </c>
      <c r="M95" s="2"/>
      <c r="N95" s="7">
        <f t="shared" si="56"/>
        <v>-0.80159999999999998</v>
      </c>
      <c r="O95" s="11"/>
      <c r="P95" s="6">
        <v>4.96</v>
      </c>
      <c r="Q95" s="2"/>
      <c r="R95" s="7">
        <f t="shared" si="57"/>
        <v>9.984481780233101E-5</v>
      </c>
      <c r="S95" s="2"/>
      <c r="T95" s="6">
        <v>50</v>
      </c>
      <c r="U95" s="2"/>
      <c r="V95" s="7">
        <f t="shared" si="58"/>
        <v>4.3505877644069716E-4</v>
      </c>
      <c r="W95" s="2"/>
      <c r="X95" s="6">
        <f t="shared" si="59"/>
        <v>-45.04</v>
      </c>
      <c r="Y95" s="2"/>
      <c r="Z95" s="7">
        <f t="shared" si="60"/>
        <v>-0.90079999999999993</v>
      </c>
    </row>
    <row r="96" spans="1:26" s="24" customFormat="1" hidden="1" outlineLevel="2" x14ac:dyDescent="0.25">
      <c r="A96" s="27"/>
      <c r="B96" s="11" t="str">
        <f>CONCATENATE("          ", "6244", " - ", "SAFETY SUPPLY EXPENSE")</f>
        <v xml:space="preserve">          6244 - SAFETY SUPPLY EXPENSE</v>
      </c>
      <c r="C96" s="11"/>
      <c r="D96" s="6"/>
      <c r="E96" s="2"/>
      <c r="F96" s="7">
        <f t="shared" si="53"/>
        <v>0</v>
      </c>
      <c r="G96" s="2"/>
      <c r="H96" s="6">
        <v>0</v>
      </c>
      <c r="I96" s="2"/>
      <c r="J96" s="7">
        <f t="shared" si="54"/>
        <v>0</v>
      </c>
      <c r="K96" s="2"/>
      <c r="L96" s="6">
        <f t="shared" si="55"/>
        <v>0</v>
      </c>
      <c r="M96" s="2"/>
      <c r="N96" s="7">
        <f t="shared" si="56"/>
        <v>0</v>
      </c>
      <c r="O96" s="11"/>
      <c r="P96" s="6"/>
      <c r="Q96" s="2"/>
      <c r="R96" s="7">
        <f t="shared" si="57"/>
        <v>0</v>
      </c>
      <c r="S96" s="2"/>
      <c r="T96" s="6">
        <v>25</v>
      </c>
      <c r="U96" s="2"/>
      <c r="V96" s="7">
        <f t="shared" si="58"/>
        <v>2.1752938822034858E-4</v>
      </c>
      <c r="W96" s="2"/>
      <c r="X96" s="6">
        <f t="shared" si="59"/>
        <v>-25</v>
      </c>
      <c r="Y96" s="2"/>
      <c r="Z96" s="7">
        <f t="shared" si="60"/>
        <v>-1</v>
      </c>
    </row>
    <row r="97" spans="1:26" s="24" customFormat="1" hidden="1" outlineLevel="2" x14ac:dyDescent="0.25">
      <c r="A97" s="27"/>
      <c r="B97" s="11" t="str">
        <f>CONCATENATE("          ", "6247", " - ", "STORE SUPPLIES")</f>
        <v xml:space="preserve">          6247 - STORE SUPPLIES</v>
      </c>
      <c r="C97" s="11"/>
      <c r="D97" s="6"/>
      <c r="E97" s="2"/>
      <c r="F97" s="7">
        <f t="shared" si="53"/>
        <v>0</v>
      </c>
      <c r="G97" s="2"/>
      <c r="H97" s="6">
        <v>25</v>
      </c>
      <c r="I97" s="2"/>
      <c r="J97" s="7">
        <f t="shared" si="54"/>
        <v>3.7867886517517686E-4</v>
      </c>
      <c r="K97" s="2"/>
      <c r="L97" s="6">
        <f t="shared" si="55"/>
        <v>-25</v>
      </c>
      <c r="M97" s="2"/>
      <c r="N97" s="7">
        <f t="shared" si="56"/>
        <v>-1</v>
      </c>
      <c r="O97" s="11"/>
      <c r="P97" s="6"/>
      <c r="Q97" s="2"/>
      <c r="R97" s="7">
        <f t="shared" si="57"/>
        <v>0</v>
      </c>
      <c r="S97" s="2"/>
      <c r="T97" s="6">
        <v>50</v>
      </c>
      <c r="U97" s="2"/>
      <c r="V97" s="7">
        <f t="shared" si="58"/>
        <v>4.3505877644069716E-4</v>
      </c>
      <c r="W97" s="2"/>
      <c r="X97" s="6">
        <f t="shared" si="59"/>
        <v>-50</v>
      </c>
      <c r="Y97" s="2"/>
      <c r="Z97" s="7">
        <f t="shared" si="60"/>
        <v>-1</v>
      </c>
    </row>
    <row r="98" spans="1:26" s="29" customFormat="1" outlineLevel="1" collapsed="1" x14ac:dyDescent="0.25">
      <c r="A98" s="28"/>
      <c r="B98" s="14" t="str">
        <f>CONCATENATE("     ","Telephone/Data Lines                              ")</f>
        <v xml:space="preserve">     Telephone/Data Lines                              </v>
      </c>
      <c r="C98" s="14"/>
      <c r="D98" s="1">
        <f>SUM(OSRRefD22_17x_0)</f>
        <v>281.48</v>
      </c>
      <c r="E98" s="1"/>
      <c r="F98" s="5">
        <f t="shared" ref="F98:F100" si="61">IF(D$12=0,0,D98/D$12)</f>
        <v>1.2347065356805098E-2</v>
      </c>
      <c r="G98" s="1"/>
      <c r="H98" s="1">
        <f>SUM(OSRRefH22_17x_0)</f>
        <v>230</v>
      </c>
      <c r="I98" s="1"/>
      <c r="J98" s="5">
        <f t="shared" ref="J98:J100" si="62">IF(H$12=0,0,H98/H$12)</f>
        <v>3.4838455596116267E-3</v>
      </c>
      <c r="K98" s="1"/>
      <c r="L98" s="1">
        <f t="shared" ref="L98:L100" si="63">+D98-H98</f>
        <v>51.480000000000018</v>
      </c>
      <c r="M98" s="1"/>
      <c r="N98" s="5">
        <f t="shared" ref="N98:N100" si="64">IF(H98=0,0,L98/H98)</f>
        <v>0.22382608695652181</v>
      </c>
      <c r="O98" s="14"/>
      <c r="P98" s="1">
        <f>SUM(OSRRefP22_17x_0)</f>
        <v>559.79999999999995</v>
      </c>
      <c r="Q98" s="1"/>
      <c r="R98" s="5">
        <f t="shared" ref="R98:R100" si="65">IF(P$12=0,0,P98/P$12)</f>
        <v>1.1268776009222761E-2</v>
      </c>
      <c r="S98" s="1"/>
      <c r="T98" s="1">
        <f>SUM(OSRRefT22_17x_0)</f>
        <v>460</v>
      </c>
      <c r="U98" s="1"/>
      <c r="V98" s="5">
        <f t="shared" ref="V98:V100" si="66">IF(T$12=0,0,T98/T$12)</f>
        <v>4.0025407432544135E-3</v>
      </c>
      <c r="W98" s="1"/>
      <c r="X98" s="1">
        <f t="shared" ref="X98:X100" si="67">+P98-T98</f>
        <v>99.799999999999955</v>
      </c>
      <c r="Y98" s="1"/>
      <c r="Z98" s="5">
        <f t="shared" ref="Z98:Z100" si="68">IF(T98=0,0,X98/T98)</f>
        <v>0.21695652173913033</v>
      </c>
    </row>
    <row r="99" spans="1:26" s="24" customFormat="1" hidden="1" outlineLevel="2" x14ac:dyDescent="0.25">
      <c r="A99" s="27"/>
      <c r="B99" s="11" t="str">
        <f>CONCATENATE("          ", "6303", " - ", "DATA PHONE LINES")</f>
        <v xml:space="preserve">          6303 - DATA PHONE LINES</v>
      </c>
      <c r="C99" s="11"/>
      <c r="D99" s="6"/>
      <c r="E99" s="2"/>
      <c r="F99" s="7">
        <f t="shared" si="61"/>
        <v>0</v>
      </c>
      <c r="G99" s="2"/>
      <c r="H99" s="6">
        <v>230</v>
      </c>
      <c r="I99" s="2"/>
      <c r="J99" s="7">
        <f t="shared" si="62"/>
        <v>3.4838455596116267E-3</v>
      </c>
      <c r="K99" s="2"/>
      <c r="L99" s="6">
        <f t="shared" si="63"/>
        <v>-230</v>
      </c>
      <c r="M99" s="2"/>
      <c r="N99" s="7">
        <f t="shared" si="64"/>
        <v>-1</v>
      </c>
      <c r="O99" s="11"/>
      <c r="P99" s="6"/>
      <c r="Q99" s="2"/>
      <c r="R99" s="7">
        <f t="shared" si="65"/>
        <v>0</v>
      </c>
      <c r="S99" s="2"/>
      <c r="T99" s="6">
        <v>460</v>
      </c>
      <c r="U99" s="2"/>
      <c r="V99" s="7">
        <f t="shared" si="66"/>
        <v>4.0025407432544135E-3</v>
      </c>
      <c r="W99" s="2"/>
      <c r="X99" s="6">
        <f t="shared" si="67"/>
        <v>-460</v>
      </c>
      <c r="Y99" s="2"/>
      <c r="Z99" s="7">
        <f t="shared" si="68"/>
        <v>-1</v>
      </c>
    </row>
    <row r="100" spans="1:26" s="24" customFormat="1" hidden="1" outlineLevel="2" x14ac:dyDescent="0.25">
      <c r="A100" s="27"/>
      <c r="B100" s="11" t="str">
        <f>CONCATENATE("          ", "6309", " - ", "TELEPHONE")</f>
        <v xml:space="preserve">          6309 - TELEPHONE</v>
      </c>
      <c r="C100" s="11"/>
      <c r="D100" s="6">
        <v>281.48</v>
      </c>
      <c r="E100" s="2"/>
      <c r="F100" s="7">
        <f t="shared" si="61"/>
        <v>1.2347065356805098E-2</v>
      </c>
      <c r="G100" s="2"/>
      <c r="H100" s="6"/>
      <c r="I100" s="2"/>
      <c r="J100" s="7">
        <f t="shared" si="62"/>
        <v>0</v>
      </c>
      <c r="K100" s="2"/>
      <c r="L100" s="6">
        <f t="shared" si="63"/>
        <v>281.48</v>
      </c>
      <c r="M100" s="2"/>
      <c r="N100" s="7">
        <f t="shared" si="64"/>
        <v>0</v>
      </c>
      <c r="O100" s="11"/>
      <c r="P100" s="6">
        <v>559.79999999999995</v>
      </c>
      <c r="Q100" s="2"/>
      <c r="R100" s="7">
        <f t="shared" si="65"/>
        <v>1.1268776009222761E-2</v>
      </c>
      <c r="S100" s="2"/>
      <c r="T100" s="6"/>
      <c r="U100" s="2"/>
      <c r="V100" s="7">
        <f t="shared" si="66"/>
        <v>0</v>
      </c>
      <c r="W100" s="2"/>
      <c r="X100" s="6">
        <f t="shared" si="67"/>
        <v>559.79999999999995</v>
      </c>
      <c r="Y100" s="2"/>
      <c r="Z100" s="7">
        <f t="shared" si="68"/>
        <v>0</v>
      </c>
    </row>
    <row r="101" spans="1:26" s="29" customFormat="1" outlineLevel="1" collapsed="1" x14ac:dyDescent="0.25">
      <c r="A101" s="28"/>
      <c r="B101" s="14" t="str">
        <f>CONCATENATE("     ","Training                                          ")</f>
        <v xml:space="preserve">     Training                                          </v>
      </c>
      <c r="C101" s="14"/>
      <c r="D101" s="1">
        <f>SUM(OSRRefD22_18x_0)</f>
        <v>0</v>
      </c>
      <c r="E101" s="1"/>
      <c r="F101" s="5">
        <f t="shared" ref="F101:F105" si="69">IF(D$12=0,0,D101/D$12)</f>
        <v>0</v>
      </c>
      <c r="G101" s="1"/>
      <c r="H101" s="1">
        <f>SUM(OSRRefH22_18x_0)</f>
        <v>0</v>
      </c>
      <c r="I101" s="1"/>
      <c r="J101" s="5">
        <f t="shared" ref="J101:J105" si="70">IF(H$12=0,0,H101/H$12)</f>
        <v>0</v>
      </c>
      <c r="K101" s="1"/>
      <c r="L101" s="1">
        <f t="shared" ref="L101:L105" si="71">+D101-H101</f>
        <v>0</v>
      </c>
      <c r="M101" s="1"/>
      <c r="N101" s="5">
        <f t="shared" ref="N101:N105" si="72">IF(H101=0,0,L101/H101)</f>
        <v>0</v>
      </c>
      <c r="O101" s="14"/>
      <c r="P101" s="1">
        <f>SUM(OSRRefP22_18x_0)</f>
        <v>0</v>
      </c>
      <c r="Q101" s="1"/>
      <c r="R101" s="5">
        <f t="shared" ref="R101:R105" si="73">IF(P$12=0,0,P101/P$12)</f>
        <v>0</v>
      </c>
      <c r="S101" s="1"/>
      <c r="T101" s="1">
        <f>SUM(OSRRefT22_18x_0)</f>
        <v>0</v>
      </c>
      <c r="U101" s="1"/>
      <c r="V101" s="5">
        <f t="shared" ref="V101:V105" si="74">IF(T$12=0,0,T101/T$12)</f>
        <v>0</v>
      </c>
      <c r="W101" s="1"/>
      <c r="X101" s="1">
        <f t="shared" ref="X101:X105" si="75">+P101-T101</f>
        <v>0</v>
      </c>
      <c r="Y101" s="1"/>
      <c r="Z101" s="5">
        <f t="shared" ref="Z101:Z105" si="76">IF(T101=0,0,X101/T101)</f>
        <v>0</v>
      </c>
    </row>
    <row r="102" spans="1:26" s="24" customFormat="1" hidden="1" outlineLevel="2" x14ac:dyDescent="0.25">
      <c r="A102" s="27"/>
      <c r="B102" s="11" t="str">
        <f>CONCATENATE("          ", "6376", " - ", "TRAINING")</f>
        <v xml:space="preserve">          6376 - TRAINING</v>
      </c>
      <c r="C102" s="11"/>
      <c r="D102" s="6"/>
      <c r="E102" s="2"/>
      <c r="F102" s="7">
        <f t="shared" si="69"/>
        <v>0</v>
      </c>
      <c r="G102" s="2"/>
      <c r="H102" s="6">
        <v>0</v>
      </c>
      <c r="I102" s="2"/>
      <c r="J102" s="7">
        <f t="shared" si="70"/>
        <v>0</v>
      </c>
      <c r="K102" s="2"/>
      <c r="L102" s="6">
        <f t="shared" si="71"/>
        <v>0</v>
      </c>
      <c r="M102" s="2"/>
      <c r="N102" s="7">
        <f t="shared" si="72"/>
        <v>0</v>
      </c>
      <c r="O102" s="11"/>
      <c r="P102" s="6"/>
      <c r="Q102" s="2"/>
      <c r="R102" s="7">
        <f t="shared" si="73"/>
        <v>0</v>
      </c>
      <c r="S102" s="2"/>
      <c r="T102" s="6">
        <v>0</v>
      </c>
      <c r="U102" s="2"/>
      <c r="V102" s="7">
        <f t="shared" si="74"/>
        <v>0</v>
      </c>
      <c r="W102" s="2"/>
      <c r="X102" s="6">
        <f t="shared" si="75"/>
        <v>0</v>
      </c>
      <c r="Y102" s="2"/>
      <c r="Z102" s="7">
        <f t="shared" si="76"/>
        <v>0</v>
      </c>
    </row>
    <row r="103" spans="1:26" s="29" customFormat="1" outlineLevel="1" collapsed="1" x14ac:dyDescent="0.25">
      <c r="A103" s="28"/>
      <c r="B103" s="14" t="str">
        <f>CONCATENATE("     ","Travel                                            ")</f>
        <v xml:space="preserve">     Travel                                            </v>
      </c>
      <c r="C103" s="14"/>
      <c r="D103" s="1">
        <f>SUM(OSRRefD22_19x_0)</f>
        <v>25.76</v>
      </c>
      <c r="E103" s="1"/>
      <c r="F103" s="5">
        <f t="shared" si="69"/>
        <v>1.1299573809553053E-3</v>
      </c>
      <c r="G103" s="1"/>
      <c r="H103" s="1">
        <f>SUM(OSRRefH22_19x_0)</f>
        <v>25</v>
      </c>
      <c r="I103" s="1"/>
      <c r="J103" s="5">
        <f t="shared" si="70"/>
        <v>3.7867886517517686E-4</v>
      </c>
      <c r="K103" s="1"/>
      <c r="L103" s="1">
        <f t="shared" si="71"/>
        <v>0.76000000000000156</v>
      </c>
      <c r="M103" s="1"/>
      <c r="N103" s="5">
        <f t="shared" si="72"/>
        <v>3.0400000000000062E-2</v>
      </c>
      <c r="O103" s="14"/>
      <c r="P103" s="1">
        <f>SUM(OSRRefP22_19x_0)</f>
        <v>240.92</v>
      </c>
      <c r="Q103" s="1"/>
      <c r="R103" s="5">
        <f t="shared" si="73"/>
        <v>4.8497204647051581E-3</v>
      </c>
      <c r="S103" s="1"/>
      <c r="T103" s="1">
        <f>SUM(OSRRefT22_19x_0)</f>
        <v>50</v>
      </c>
      <c r="U103" s="1"/>
      <c r="V103" s="5">
        <f t="shared" si="74"/>
        <v>4.3505877644069716E-4</v>
      </c>
      <c r="W103" s="1"/>
      <c r="X103" s="1">
        <f t="shared" si="75"/>
        <v>190.92</v>
      </c>
      <c r="Y103" s="1"/>
      <c r="Z103" s="5">
        <f t="shared" si="76"/>
        <v>3.8183999999999996</v>
      </c>
    </row>
    <row r="104" spans="1:26" s="24" customFormat="1" hidden="1" outlineLevel="2" x14ac:dyDescent="0.25">
      <c r="A104" s="27"/>
      <c r="B104" s="11" t="str">
        <f>CONCATENATE("          ", "6294", " - ", "TRAVEL OPERATIONAL")</f>
        <v xml:space="preserve">          6294 - TRAVEL OPERATIONAL</v>
      </c>
      <c r="C104" s="11"/>
      <c r="D104" s="6">
        <v>25.76</v>
      </c>
      <c r="E104" s="2"/>
      <c r="F104" s="7">
        <f t="shared" si="69"/>
        <v>1.1299573809553053E-3</v>
      </c>
      <c r="G104" s="2"/>
      <c r="H104" s="6"/>
      <c r="I104" s="2"/>
      <c r="J104" s="7">
        <f t="shared" si="70"/>
        <v>0</v>
      </c>
      <c r="K104" s="2"/>
      <c r="L104" s="6">
        <f t="shared" si="71"/>
        <v>25.76</v>
      </c>
      <c r="M104" s="2"/>
      <c r="N104" s="7">
        <f t="shared" si="72"/>
        <v>0</v>
      </c>
      <c r="O104" s="11"/>
      <c r="P104" s="6">
        <v>240.92</v>
      </c>
      <c r="Q104" s="2"/>
      <c r="R104" s="7">
        <f t="shared" si="73"/>
        <v>4.8497204647051581E-3</v>
      </c>
      <c r="S104" s="2"/>
      <c r="T104" s="6"/>
      <c r="U104" s="2"/>
      <c r="V104" s="7">
        <f t="shared" si="74"/>
        <v>0</v>
      </c>
      <c r="W104" s="2"/>
      <c r="X104" s="6">
        <f t="shared" si="75"/>
        <v>240.92</v>
      </c>
      <c r="Y104" s="2"/>
      <c r="Z104" s="7">
        <f t="shared" si="76"/>
        <v>0</v>
      </c>
    </row>
    <row r="105" spans="1:26" s="24" customFormat="1" hidden="1" outlineLevel="2" x14ac:dyDescent="0.25">
      <c r="A105" s="27"/>
      <c r="B105" s="11" t="str">
        <f>CONCATENATE("          ", "6298", " - ", "VEHICLE MILEAGE")</f>
        <v xml:space="preserve">          6298 - VEHICLE MILEAGE</v>
      </c>
      <c r="C105" s="11"/>
      <c r="D105" s="6"/>
      <c r="E105" s="2"/>
      <c r="F105" s="7">
        <f t="shared" si="69"/>
        <v>0</v>
      </c>
      <c r="G105" s="2"/>
      <c r="H105" s="6">
        <v>25</v>
      </c>
      <c r="I105" s="2"/>
      <c r="J105" s="7">
        <f t="shared" si="70"/>
        <v>3.7867886517517686E-4</v>
      </c>
      <c r="K105" s="2"/>
      <c r="L105" s="6">
        <f t="shared" si="71"/>
        <v>-25</v>
      </c>
      <c r="M105" s="2"/>
      <c r="N105" s="7">
        <f t="shared" si="72"/>
        <v>-1</v>
      </c>
      <c r="O105" s="11"/>
      <c r="P105" s="6"/>
      <c r="Q105" s="2"/>
      <c r="R105" s="7">
        <f t="shared" si="73"/>
        <v>0</v>
      </c>
      <c r="S105" s="2"/>
      <c r="T105" s="6">
        <v>50</v>
      </c>
      <c r="U105" s="2"/>
      <c r="V105" s="7">
        <f t="shared" si="74"/>
        <v>4.3505877644069716E-4</v>
      </c>
      <c r="W105" s="2"/>
      <c r="X105" s="6">
        <f t="shared" si="75"/>
        <v>-50</v>
      </c>
      <c r="Y105" s="2"/>
      <c r="Z105" s="7">
        <f t="shared" si="76"/>
        <v>-1</v>
      </c>
    </row>
    <row r="106" spans="1:26" s="29" customFormat="1" outlineLevel="1" collapsed="1" x14ac:dyDescent="0.25">
      <c r="A106" s="28"/>
      <c r="B106" s="14" t="str">
        <f>CONCATENATE("     ","Utilities                                         ")</f>
        <v xml:space="preserve">     Utilities                                         </v>
      </c>
      <c r="C106" s="14"/>
      <c r="D106" s="1">
        <f>SUM(OSRRefD22_20x_0)</f>
        <v>11.89</v>
      </c>
      <c r="E106" s="1"/>
      <c r="F106" s="5">
        <f t="shared" ref="F106:F107" si="77">IF(D$12=0,0,D106/D$12)</f>
        <v>5.2155253336795733E-4</v>
      </c>
      <c r="G106" s="1"/>
      <c r="H106" s="1">
        <f>SUM(OSRRefH22_20x_0)</f>
        <v>105</v>
      </c>
      <c r="I106" s="1"/>
      <c r="J106" s="5">
        <f t="shared" ref="J106:J107" si="78">IF(H$12=0,0,H106/H$12)</f>
        <v>1.5904512337357427E-3</v>
      </c>
      <c r="K106" s="1"/>
      <c r="L106" s="1">
        <f t="shared" ref="L106:L107" si="79">+D106-H106</f>
        <v>-93.11</v>
      </c>
      <c r="M106" s="1"/>
      <c r="N106" s="5">
        <f t="shared" ref="N106:N107" si="80">IF(H106=0,0,L106/H106)</f>
        <v>-0.88676190476190475</v>
      </c>
      <c r="O106" s="14"/>
      <c r="P106" s="1">
        <f>SUM(OSRRefP22_20x_0)</f>
        <v>40.35</v>
      </c>
      <c r="Q106" s="1"/>
      <c r="R106" s="5">
        <f t="shared" ref="R106:R107" si="81">IF(P$12=0,0,P106/P$12)</f>
        <v>8.1224564482339841E-4</v>
      </c>
      <c r="S106" s="1"/>
      <c r="T106" s="1">
        <f>SUM(OSRRefT22_20x_0)</f>
        <v>210</v>
      </c>
      <c r="U106" s="1"/>
      <c r="V106" s="5">
        <f t="shared" ref="V106:V107" si="82">IF(T$12=0,0,T106/T$12)</f>
        <v>1.8272468610509281E-3</v>
      </c>
      <c r="W106" s="1"/>
      <c r="X106" s="1">
        <f t="shared" ref="X106:X107" si="83">+P106-T106</f>
        <v>-169.65</v>
      </c>
      <c r="Y106" s="1"/>
      <c r="Z106" s="5">
        <f t="shared" ref="Z106:Z107" si="84">IF(T106=0,0,X106/T106)</f>
        <v>-0.80785714285714283</v>
      </c>
    </row>
    <row r="107" spans="1:26" s="24" customFormat="1" hidden="1" outlineLevel="2" x14ac:dyDescent="0.25">
      <c r="A107" s="27"/>
      <c r="B107" s="11" t="str">
        <f>CONCATENATE("          ", "6274", " - ", "UTILITIES")</f>
        <v xml:space="preserve">          6274 - UTILITIES</v>
      </c>
      <c r="C107" s="11"/>
      <c r="D107" s="6">
        <v>11.89</v>
      </c>
      <c r="E107" s="2"/>
      <c r="F107" s="7">
        <f t="shared" si="77"/>
        <v>5.2155253336795733E-4</v>
      </c>
      <c r="G107" s="2"/>
      <c r="H107" s="6">
        <v>105</v>
      </c>
      <c r="I107" s="2"/>
      <c r="J107" s="7">
        <f t="shared" si="78"/>
        <v>1.5904512337357427E-3</v>
      </c>
      <c r="K107" s="2"/>
      <c r="L107" s="6">
        <f t="shared" si="79"/>
        <v>-93.11</v>
      </c>
      <c r="M107" s="2"/>
      <c r="N107" s="7">
        <f t="shared" si="80"/>
        <v>-0.88676190476190475</v>
      </c>
      <c r="O107" s="11"/>
      <c r="P107" s="6">
        <v>40.35</v>
      </c>
      <c r="Q107" s="2"/>
      <c r="R107" s="7">
        <f t="shared" si="81"/>
        <v>8.1224564482339841E-4</v>
      </c>
      <c r="S107" s="2"/>
      <c r="T107" s="6">
        <v>210</v>
      </c>
      <c r="U107" s="2"/>
      <c r="V107" s="7">
        <f t="shared" si="82"/>
        <v>1.8272468610509281E-3</v>
      </c>
      <c r="W107" s="2"/>
      <c r="X107" s="6">
        <f t="shared" si="83"/>
        <v>-169.65</v>
      </c>
      <c r="Y107" s="2"/>
      <c r="Z107" s="7">
        <f t="shared" si="84"/>
        <v>-0.80785714285714283</v>
      </c>
    </row>
    <row r="108" spans="1:26" s="61" customFormat="1" x14ac:dyDescent="0.2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2" customFormat="1" x14ac:dyDescent="0.25">
      <c r="A109" s="10"/>
      <c r="B109" s="25" t="s">
        <v>0</v>
      </c>
      <c r="C109" s="10"/>
      <c r="D109" s="4">
        <f>SUM(0)</f>
        <v>0</v>
      </c>
      <c r="E109" s="4"/>
      <c r="F109" s="12">
        <f>IF(D$12=0,0,D109/D$12)</f>
        <v>0</v>
      </c>
      <c r="G109" s="4"/>
      <c r="H109" s="4">
        <f>SUM(0)</f>
        <v>0</v>
      </c>
      <c r="I109" s="4"/>
      <c r="J109" s="12">
        <f>IF(H$12=0,0,H109/H$12)</f>
        <v>0</v>
      </c>
      <c r="K109" s="4"/>
      <c r="L109" s="4">
        <f>+D109-H109</f>
        <v>0</v>
      </c>
      <c r="M109" s="4"/>
      <c r="N109" s="12">
        <f>IF(H109=0,0,L109/H109)</f>
        <v>0</v>
      </c>
      <c r="O109" s="10"/>
      <c r="P109" s="4">
        <f>SUM(0)</f>
        <v>0</v>
      </c>
      <c r="Q109" s="4"/>
      <c r="R109" s="12">
        <f>IF(P$12=0,0,P109/P$12)</f>
        <v>0</v>
      </c>
      <c r="S109" s="4"/>
      <c r="T109" s="4">
        <f>SUM(0)</f>
        <v>0</v>
      </c>
      <c r="U109" s="4"/>
      <c r="V109" s="12">
        <f>IF(T$12=0,0,T109/T$12)</f>
        <v>0</v>
      </c>
      <c r="W109" s="4"/>
      <c r="X109" s="4">
        <f>+P109-T109</f>
        <v>0</v>
      </c>
      <c r="Y109" s="4"/>
      <c r="Z109" s="12">
        <f>IF(T109=0,0,X109/T109)</f>
        <v>0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2" customFormat="1" x14ac:dyDescent="0.25">
      <c r="A111" s="10"/>
      <c r="B111" s="26" t="s">
        <v>3</v>
      </c>
      <c r="C111" s="26"/>
      <c r="D111" s="21">
        <f>+D35-D37+D109</f>
        <v>-3837.5499999999993</v>
      </c>
      <c r="E111" s="13"/>
      <c r="F111" s="20">
        <f>IF(D$12=0,0,D111/D$12)</f>
        <v>-0.16833338304677914</v>
      </c>
      <c r="G111" s="13"/>
      <c r="H111" s="21">
        <f>+H35-H37+H109</f>
        <v>11203.979346153847</v>
      </c>
      <c r="I111" s="13"/>
      <c r="J111" s="20">
        <f>IF(H$12=0,0,H111/H$12)</f>
        <v>0.16970840736990633</v>
      </c>
      <c r="K111" s="16"/>
      <c r="L111" s="21">
        <f>+D111-H111</f>
        <v>-15041.529346153846</v>
      </c>
      <c r="M111" s="16"/>
      <c r="N111" s="20">
        <f>IF(H111=0,0,L111/H111)</f>
        <v>-1.3425166970981048</v>
      </c>
      <c r="O111" s="25"/>
      <c r="P111" s="21">
        <f>+P35-P37+P109</f>
        <v>-10399.179999999993</v>
      </c>
      <c r="Q111" s="13"/>
      <c r="R111" s="20">
        <f>IF(P$12=0,0,P111/P$12)</f>
        <v>-0.20933553072452496</v>
      </c>
      <c r="S111" s="13"/>
      <c r="T111" s="21">
        <f>+T35-T37+T109</f>
        <v>10579.953528846163</v>
      </c>
      <c r="U111" s="13"/>
      <c r="V111" s="20">
        <f>IF(T$12=0,0,T111/T$12)</f>
        <v>9.2058032741184959E-2</v>
      </c>
      <c r="W111" s="16"/>
      <c r="X111" s="21">
        <f>+P111-T111</f>
        <v>-20979.133528846156</v>
      </c>
      <c r="Y111" s="16"/>
      <c r="Z111" s="20">
        <f>IF(T111=0,0,X111/T111)</f>
        <v>-1.9829135800688262</v>
      </c>
    </row>
    <row r="112" spans="1:26" x14ac:dyDescent="0.25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2" customFormat="1" x14ac:dyDescent="0.25">
      <c r="A113" s="52"/>
      <c r="B113" s="10" t="s">
        <v>14</v>
      </c>
      <c r="C113" s="10"/>
      <c r="D113" s="4">
        <v>-4708.91</v>
      </c>
      <c r="E113" s="4"/>
      <c r="F113" s="12">
        <f>IF(D$12=0,0,D113/D$12)</f>
        <v>-0.20655541967213689</v>
      </c>
      <c r="G113" s="4"/>
      <c r="H113" s="4">
        <v>-4989</v>
      </c>
      <c r="I113" s="4"/>
      <c r="J113" s="12">
        <f>IF(H$12=0,0,H113/H$12)</f>
        <v>-7.5569154334358291E-2</v>
      </c>
      <c r="K113" s="4"/>
      <c r="L113" s="4">
        <f>+D113-H113</f>
        <v>280.09000000000015</v>
      </c>
      <c r="M113" s="4"/>
      <c r="N113" s="12">
        <f>IF(H113=0,0,L113/H113)</f>
        <v>-5.6141511324914843E-2</v>
      </c>
      <c r="O113" s="10"/>
      <c r="P113" s="4">
        <v>8387.32</v>
      </c>
      <c r="Q113" s="4"/>
      <c r="R113" s="12">
        <f>IF(P$12=0,0,P113/P$12)</f>
        <v>0.16883678170359817</v>
      </c>
      <c r="S113" s="4"/>
      <c r="T113" s="4">
        <v>18768</v>
      </c>
      <c r="U113" s="4"/>
      <c r="V113" s="12">
        <f>IF(T$12=0,0,T113/T$12)</f>
        <v>0.16330366232478008</v>
      </c>
      <c r="W113" s="4"/>
      <c r="X113" s="4">
        <f>+P113-T113</f>
        <v>-10380.68</v>
      </c>
      <c r="Y113" s="4"/>
      <c r="Z113" s="12">
        <f>IF(T113=0,0,X113/T113)</f>
        <v>-0.55310528559249783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2" customFormat="1" ht="15.75" thickBot="1" x14ac:dyDescent="0.3">
      <c r="A115" s="10"/>
      <c r="B115" s="26" t="s">
        <v>4</v>
      </c>
      <c r="C115" s="26"/>
      <c r="D115" s="33">
        <f>+D111-D113</f>
        <v>871.36000000000058</v>
      </c>
      <c r="E115" s="13"/>
      <c r="F115" s="31">
        <f>IF(D$12=0,0,D115/D$12)</f>
        <v>3.8222036625357746E-2</v>
      </c>
      <c r="G115" s="13"/>
      <c r="H115" s="33">
        <f>+H111-H113</f>
        <v>16192.979346153847</v>
      </c>
      <c r="I115" s="13"/>
      <c r="J115" s="31">
        <f>IF(H$12=0,0,H115/H$12)</f>
        <v>0.24527756170426462</v>
      </c>
      <c r="K115" s="16"/>
      <c r="L115" s="33">
        <f>D115-H115</f>
        <v>-15321.619346153846</v>
      </c>
      <c r="M115" s="16"/>
      <c r="N115" s="31">
        <f>IF(H115=0,0,L115/H115)</f>
        <v>-0.94618902541816885</v>
      </c>
      <c r="O115" s="25"/>
      <c r="P115" s="33">
        <f>+P111-P113</f>
        <v>-18786.499999999993</v>
      </c>
      <c r="Q115" s="13"/>
      <c r="R115" s="31">
        <f>IF(P$12=0,0,P115/P$12)</f>
        <v>-0.3781723124281231</v>
      </c>
      <c r="S115" s="13"/>
      <c r="T115" s="33">
        <f>+T111-T113</f>
        <v>-8188.046471153837</v>
      </c>
      <c r="U115" s="13"/>
      <c r="V115" s="31">
        <f>IF(T$12=0,0,T115/T$12)</f>
        <v>-7.1245629583595121E-2</v>
      </c>
      <c r="W115" s="16"/>
      <c r="X115" s="33">
        <f>P115-T115</f>
        <v>-10598.453528846156</v>
      </c>
      <c r="Y115" s="16"/>
      <c r="Z115" s="31">
        <f>IF(T115=0,0,X115/T115)</f>
        <v>1.294381213661169</v>
      </c>
    </row>
    <row r="116" spans="1:26" ht="15.75" thickTop="1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2" customFormat="1" ht="15.75" thickBot="1" x14ac:dyDescent="0.3">
      <c r="A118" s="10"/>
      <c r="B118" s="26" t="s">
        <v>5</v>
      </c>
      <c r="C118" s="26"/>
      <c r="D118" s="32">
        <f>SUM(D115:D117)</f>
        <v>871.36000000000058</v>
      </c>
      <c r="E118" s="13"/>
      <c r="F118" s="35">
        <f>IF(D$12=0,0,D118/D$12)</f>
        <v>3.8222036625357746E-2</v>
      </c>
      <c r="G118" s="13"/>
      <c r="H118" s="32">
        <f>SUM(H115:H117)</f>
        <v>16192.979346153847</v>
      </c>
      <c r="I118" s="13"/>
      <c r="J118" s="35">
        <f>IF(H$12=0,0,H118/H$12)</f>
        <v>0.24527756170426462</v>
      </c>
      <c r="K118" s="16"/>
      <c r="L118" s="32">
        <f>+D118-H118</f>
        <v>-15321.619346153846</v>
      </c>
      <c r="M118" s="16"/>
      <c r="N118" s="35">
        <f>IF(H118=0,0,L118/H118)</f>
        <v>-0.94618902541816885</v>
      </c>
      <c r="O118" s="25"/>
      <c r="P118" s="32">
        <f>SUM(P115:P117)</f>
        <v>-18786.499999999993</v>
      </c>
      <c r="Q118" s="13"/>
      <c r="R118" s="35">
        <f>IF(P$12=0,0,P118/P$12)</f>
        <v>-0.3781723124281231</v>
      </c>
      <c r="S118" s="13"/>
      <c r="T118" s="32">
        <f>SUM(T115:T117)</f>
        <v>-8188.046471153837</v>
      </c>
      <c r="U118" s="13"/>
      <c r="V118" s="35">
        <f>IF(T$12=0,0,T118/T$12)</f>
        <v>-7.1245629583595121E-2</v>
      </c>
      <c r="W118" s="16"/>
      <c r="X118" s="32">
        <f>+P118-T118</f>
        <v>-10598.453528846156</v>
      </c>
      <c r="Y118" s="16"/>
      <c r="Z118" s="35">
        <f>IF(T118=0,0,X118/T118)</f>
        <v>1.294381213661169</v>
      </c>
    </row>
    <row r="119" spans="1:26" ht="15.75" thickTop="1" x14ac:dyDescent="0.25">
      <c r="A119" s="9"/>
      <c r="C119" s="9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A120" s="9"/>
      <c r="B120" s="59">
        <v>44113.689707175923</v>
      </c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2" t="s">
        <v>314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63"/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SUM(0)</f>
        <v>0</v>
      </c>
      <c r="E18" s="19"/>
      <c r="F18" s="30">
        <f>IF(D$12=0,0,D18/D$12)</f>
        <v>0</v>
      </c>
      <c r="G18" s="19"/>
      <c r="H18" s="19">
        <f>SUM(0)</f>
        <v>0</v>
      </c>
      <c r="I18" s="19"/>
      <c r="J18" s="30">
        <f>IF(H$12=0,0,H18/H$12)</f>
        <v>0</v>
      </c>
      <c r="K18" s="4"/>
      <c r="L18" s="19">
        <f>+D18-H18</f>
        <v>0</v>
      </c>
      <c r="M18" s="4"/>
      <c r="N18" s="30">
        <f>IF(H18=0,0,L18/H18)</f>
        <v>0</v>
      </c>
      <c r="O18" s="10"/>
      <c r="P18" s="19">
        <f>SUM(0)</f>
        <v>0</v>
      </c>
      <c r="Q18" s="19"/>
      <c r="R18" s="30">
        <f>IF(P$12=0,0,P18/P$12)</f>
        <v>0</v>
      </c>
      <c r="S18" s="19"/>
      <c r="T18" s="19">
        <f>SUM(0)</f>
        <v>0</v>
      </c>
      <c r="U18" s="19"/>
      <c r="V18" s="30">
        <f>IF(T$12=0,0,T18/T$12)</f>
        <v>0</v>
      </c>
      <c r="W18" s="4"/>
      <c r="X18" s="19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2" customFormat="1" x14ac:dyDescent="0.25">
      <c r="A28" s="52"/>
      <c r="B28" s="10" t="s">
        <v>2</v>
      </c>
      <c r="C28" s="10"/>
      <c r="D28" s="4">
        <f>--487459.55</f>
        <v>487459.55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472459.55</v>
      </c>
      <c r="M28" s="4"/>
      <c r="N28" s="12">
        <f t="shared" ref="N28:N29" si="4">IF(H28=0,0,L28/H28)</f>
        <v>31.497303333333331</v>
      </c>
      <c r="O28" s="10"/>
      <c r="P28" s="4">
        <f>--951342.71</f>
        <v>951342.71</v>
      </c>
      <c r="Q28" s="4"/>
      <c r="R28" s="12">
        <f t="shared" ref="R28:R29" si="5">IF(P$12=0,0,P28/P$12)</f>
        <v>0</v>
      </c>
      <c r="S28" s="4"/>
      <c r="T28" s="4">
        <f t="shared" ref="T28:T29" si="6">--30000</f>
        <v>30000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921342.71</v>
      </c>
      <c r="Y28" s="4"/>
      <c r="Z28" s="12">
        <f t="shared" ref="Z28:Z29" si="9">IF(T28=0,0,X28/T28)</f>
        <v>30.711423666666665</v>
      </c>
    </row>
    <row r="29" spans="1:26" s="22" customFormat="1" x14ac:dyDescent="0.25">
      <c r="A29" s="52"/>
      <c r="B29" s="10" t="s">
        <v>1</v>
      </c>
      <c r="C29" s="10"/>
      <c r="D29" s="4">
        <f>--25064.99</f>
        <v>25064.99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10064.990000000002</v>
      </c>
      <c r="M29" s="4"/>
      <c r="N29" s="12">
        <f t="shared" si="4"/>
        <v>0.67099933333333339</v>
      </c>
      <c r="O29" s="10"/>
      <c r="P29" s="4">
        <f>-56563.28</f>
        <v>-56563.28</v>
      </c>
      <c r="Q29" s="4"/>
      <c r="R29" s="12">
        <f t="shared" si="5"/>
        <v>0</v>
      </c>
      <c r="S29" s="4"/>
      <c r="T29" s="4">
        <f t="shared" si="6"/>
        <v>30000</v>
      </c>
      <c r="U29" s="4"/>
      <c r="V29" s="12">
        <f t="shared" si="7"/>
        <v>0</v>
      </c>
      <c r="W29" s="4"/>
      <c r="X29" s="4">
        <f t="shared" si="8"/>
        <v>-86563.28</v>
      </c>
      <c r="Y29" s="4"/>
      <c r="Z29" s="12">
        <f t="shared" si="9"/>
        <v>-2.8854426666666666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5</v>
      </c>
      <c r="C31" s="26"/>
      <c r="D31" s="32">
        <f>SUM(D26:D30)</f>
        <v>512524.54</v>
      </c>
      <c r="E31" s="13"/>
      <c r="F31" s="35">
        <f>IF(D$12=0,0,D31/D$12)</f>
        <v>0</v>
      </c>
      <c r="G31" s="13"/>
      <c r="H31" s="32">
        <f>SUM(H26:H30)</f>
        <v>30000</v>
      </c>
      <c r="I31" s="13"/>
      <c r="J31" s="35">
        <f>IF(H$12=0,0,H31/H$12)</f>
        <v>0</v>
      </c>
      <c r="K31" s="16"/>
      <c r="L31" s="32">
        <f>+D31-H31</f>
        <v>482524.54</v>
      </c>
      <c r="M31" s="16"/>
      <c r="N31" s="35">
        <f>IF(H31=0,0,L31/H31)</f>
        <v>16.084151333333331</v>
      </c>
      <c r="O31" s="25"/>
      <c r="P31" s="32">
        <f>SUM(P26:P30)</f>
        <v>894779.42999999993</v>
      </c>
      <c r="Q31" s="13"/>
      <c r="R31" s="35">
        <f>IF(P$12=0,0,P31/P$12)</f>
        <v>0</v>
      </c>
      <c r="S31" s="13"/>
      <c r="T31" s="32">
        <f>SUM(T26:T30)</f>
        <v>60000</v>
      </c>
      <c r="U31" s="13"/>
      <c r="V31" s="35">
        <f>IF(T$12=0,0,T31/T$12)</f>
        <v>0</v>
      </c>
      <c r="W31" s="16"/>
      <c r="X31" s="32">
        <f>+P31-T31</f>
        <v>834779.42999999993</v>
      </c>
      <c r="Y31" s="16"/>
      <c r="Z31" s="35">
        <f>IF(T31=0,0,X31/T31)</f>
        <v>13.912990499999999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44113.688819178242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305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47524.27</v>
      </c>
      <c r="E12" s="4"/>
      <c r="F12" s="12"/>
      <c r="G12" s="4"/>
      <c r="H12" s="4">
        <f>SUM(OSRRefH13x_0)</f>
        <v>68513</v>
      </c>
      <c r="I12" s="4"/>
      <c r="J12" s="12"/>
      <c r="K12" s="4"/>
      <c r="L12" s="4">
        <f t="shared" ref="L12:L22" si="0">+D12-H12</f>
        <v>-20988.730000000003</v>
      </c>
      <c r="M12" s="4"/>
      <c r="N12" s="12">
        <f t="shared" ref="N12:N22" si="1">IF(H12=0,0,L12/H12)</f>
        <v>-0.30634667873250337</v>
      </c>
      <c r="O12" s="10"/>
      <c r="P12" s="4">
        <f>SUM(OSRRefP13x_0)</f>
        <v>52372.140000000007</v>
      </c>
      <c r="Q12" s="4"/>
      <c r="R12" s="12"/>
      <c r="S12" s="4"/>
      <c r="T12" s="4">
        <f>SUM(OSRRefT13x_0)</f>
        <v>71513</v>
      </c>
      <c r="U12" s="4"/>
      <c r="V12" s="12"/>
      <c r="W12" s="4"/>
      <c r="X12" s="4">
        <f t="shared" ref="X12:X22" si="2">+P12-T12</f>
        <v>-19140.859999999993</v>
      </c>
      <c r="Y12" s="4"/>
      <c r="Z12" s="12">
        <f t="shared" ref="Z12:Z22" si="3">IF(T12=0,0,X12/T12)</f>
        <v>-0.26765567099688159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-7.3</f>
        <v>-7.3</v>
      </c>
      <c r="E13" s="2"/>
      <c r="F13" s="23"/>
      <c r="G13" s="2"/>
      <c r="H13" s="2">
        <v>66513</v>
      </c>
      <c r="I13" s="2"/>
      <c r="J13" s="23"/>
      <c r="K13" s="2"/>
      <c r="L13" s="2">
        <f t="shared" si="0"/>
        <v>-66520.3</v>
      </c>
      <c r="M13" s="2"/>
      <c r="N13" s="23">
        <f t="shared" si="1"/>
        <v>-1.0001097529806204</v>
      </c>
      <c r="O13" s="11"/>
      <c r="P13" s="2">
        <f>-7.3</f>
        <v>-7.3</v>
      </c>
      <c r="Q13" s="2"/>
      <c r="R13" s="23"/>
      <c r="S13" s="2"/>
      <c r="T13" s="2">
        <v>69013</v>
      </c>
      <c r="U13" s="2"/>
      <c r="V13" s="23"/>
      <c r="W13" s="2"/>
      <c r="X13" s="2">
        <f t="shared" si="2"/>
        <v>-69020.3</v>
      </c>
      <c r="Y13" s="2"/>
      <c r="Z13" s="23">
        <f t="shared" si="3"/>
        <v>-1.0001057771724169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--42350.45</f>
        <v>42350.45</v>
      </c>
      <c r="E14" s="2"/>
      <c r="F14" s="23"/>
      <c r="G14" s="2"/>
      <c r="H14" s="2"/>
      <c r="I14" s="2"/>
      <c r="J14" s="23"/>
      <c r="K14" s="2"/>
      <c r="L14" s="2">
        <f t="shared" si="0"/>
        <v>42350.45</v>
      </c>
      <c r="M14" s="2"/>
      <c r="N14" s="23">
        <f t="shared" si="1"/>
        <v>0</v>
      </c>
      <c r="O14" s="11"/>
      <c r="P14" s="2">
        <f>--43436.05</f>
        <v>43436.05</v>
      </c>
      <c r="Q14" s="2"/>
      <c r="R14" s="23"/>
      <c r="S14" s="2"/>
      <c r="T14" s="2"/>
      <c r="U14" s="2"/>
      <c r="V14" s="23"/>
      <c r="W14" s="2"/>
      <c r="X14" s="2">
        <f t="shared" si="2"/>
        <v>43436.05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--5206.35</f>
        <v>5206.3500000000004</v>
      </c>
      <c r="E15" s="2"/>
      <c r="F15" s="23"/>
      <c r="G15" s="2"/>
      <c r="H15" s="2"/>
      <c r="I15" s="2"/>
      <c r="J15" s="23"/>
      <c r="K15" s="2"/>
      <c r="L15" s="2">
        <f t="shared" si="0"/>
        <v>5206.3500000000004</v>
      </c>
      <c r="M15" s="2"/>
      <c r="N15" s="23">
        <f t="shared" si="1"/>
        <v>0</v>
      </c>
      <c r="O15" s="11"/>
      <c r="P15" s="2">
        <f>--8956.87</f>
        <v>8956.8700000000008</v>
      </c>
      <c r="Q15" s="2"/>
      <c r="R15" s="23"/>
      <c r="S15" s="2"/>
      <c r="T15" s="2"/>
      <c r="U15" s="2"/>
      <c r="V15" s="23"/>
      <c r="W15" s="2"/>
      <c r="X15" s="2">
        <f t="shared" si="2"/>
        <v>8956.8700000000008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--4.99</f>
        <v>4.99</v>
      </c>
      <c r="E16" s="2"/>
      <c r="F16" s="23"/>
      <c r="G16" s="2"/>
      <c r="H16" s="2"/>
      <c r="I16" s="2"/>
      <c r="J16" s="23"/>
      <c r="K16" s="2"/>
      <c r="L16" s="2">
        <f t="shared" si="0"/>
        <v>4.99</v>
      </c>
      <c r="M16" s="2"/>
      <c r="N16" s="23">
        <f t="shared" si="1"/>
        <v>0</v>
      </c>
      <c r="O16" s="11"/>
      <c r="P16" s="2">
        <f>--4.99</f>
        <v>4.99</v>
      </c>
      <c r="Q16" s="2"/>
      <c r="R16" s="23"/>
      <c r="S16" s="2"/>
      <c r="T16" s="2"/>
      <c r="U16" s="2"/>
      <c r="V16" s="23"/>
      <c r="W16" s="2"/>
      <c r="X16" s="2">
        <f t="shared" si="2"/>
        <v>4.99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3"/>
      <c r="G17" s="2"/>
      <c r="H17" s="2">
        <v>2000</v>
      </c>
      <c r="I17" s="2"/>
      <c r="J17" s="23"/>
      <c r="K17" s="2"/>
      <c r="L17" s="2">
        <f t="shared" si="0"/>
        <v>-2000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2500</v>
      </c>
      <c r="U17" s="2"/>
      <c r="V17" s="23"/>
      <c r="W17" s="2"/>
      <c r="X17" s="2">
        <f t="shared" si="2"/>
        <v>-2500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--446.75</f>
        <v>446.75</v>
      </c>
      <c r="E18" s="2"/>
      <c r="F18" s="23"/>
      <c r="G18" s="2"/>
      <c r="H18" s="2"/>
      <c r="I18" s="2"/>
      <c r="J18" s="23"/>
      <c r="K18" s="2"/>
      <c r="L18" s="2">
        <f t="shared" si="0"/>
        <v>446.75</v>
      </c>
      <c r="M18" s="2"/>
      <c r="N18" s="23">
        <f t="shared" si="1"/>
        <v>0</v>
      </c>
      <c r="O18" s="11"/>
      <c r="P18" s="2">
        <f>--457.5</f>
        <v>457.5</v>
      </c>
      <c r="Q18" s="2"/>
      <c r="R18" s="23"/>
      <c r="S18" s="2"/>
      <c r="T18" s="2"/>
      <c r="U18" s="2"/>
      <c r="V18" s="23"/>
      <c r="W18" s="2"/>
      <c r="X18" s="2">
        <f t="shared" si="2"/>
        <v>457.5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--5.98</f>
        <v>5.98</v>
      </c>
      <c r="E19" s="2"/>
      <c r="F19" s="23"/>
      <c r="G19" s="2"/>
      <c r="H19" s="2"/>
      <c r="I19" s="2"/>
      <c r="J19" s="23"/>
      <c r="K19" s="2"/>
      <c r="L19" s="2">
        <f t="shared" si="0"/>
        <v>5.98</v>
      </c>
      <c r="M19" s="2"/>
      <c r="N19" s="23">
        <f t="shared" si="1"/>
        <v>0</v>
      </c>
      <c r="O19" s="11"/>
      <c r="P19" s="2">
        <f>--5.98</f>
        <v>5.98</v>
      </c>
      <c r="Q19" s="2"/>
      <c r="R19" s="23"/>
      <c r="S19" s="2"/>
      <c r="T19" s="2"/>
      <c r="U19" s="2"/>
      <c r="V19" s="23"/>
      <c r="W19" s="2"/>
      <c r="X19" s="2">
        <f t="shared" si="2"/>
        <v>5.98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--15.5</f>
        <v>15.5</v>
      </c>
      <c r="E20" s="2"/>
      <c r="F20" s="23"/>
      <c r="G20" s="2"/>
      <c r="H20" s="2"/>
      <c r="I20" s="2"/>
      <c r="J20" s="23"/>
      <c r="K20" s="2"/>
      <c r="L20" s="2">
        <f t="shared" si="0"/>
        <v>15.5</v>
      </c>
      <c r="M20" s="2"/>
      <c r="N20" s="23">
        <f t="shared" si="1"/>
        <v>0</v>
      </c>
      <c r="O20" s="11"/>
      <c r="P20" s="2">
        <f>--15.5</f>
        <v>15.5</v>
      </c>
      <c r="Q20" s="2"/>
      <c r="R20" s="23"/>
      <c r="S20" s="2"/>
      <c r="T20" s="2"/>
      <c r="U20" s="2"/>
      <c r="V20" s="23"/>
      <c r="W20" s="2"/>
      <c r="X20" s="2">
        <f t="shared" si="2"/>
        <v>15.5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--23</f>
        <v>23</v>
      </c>
      <c r="E21" s="2"/>
      <c r="F21" s="23"/>
      <c r="G21" s="2"/>
      <c r="H21" s="2"/>
      <c r="I21" s="2"/>
      <c r="J21" s="23"/>
      <c r="K21" s="2"/>
      <c r="L21" s="2">
        <f t="shared" si="0"/>
        <v>23</v>
      </c>
      <c r="M21" s="2"/>
      <c r="N21" s="23">
        <f t="shared" si="1"/>
        <v>0</v>
      </c>
      <c r="O21" s="11"/>
      <c r="P21" s="2">
        <f>--24</f>
        <v>24</v>
      </c>
      <c r="Q21" s="2"/>
      <c r="R21" s="23"/>
      <c r="S21" s="2"/>
      <c r="T21" s="2"/>
      <c r="U21" s="2"/>
      <c r="V21" s="23"/>
      <c r="W21" s="2"/>
      <c r="X21" s="2">
        <f t="shared" si="2"/>
        <v>24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-521.45</f>
        <v>-521.45000000000005</v>
      </c>
      <c r="E22" s="2"/>
      <c r="F22" s="23"/>
      <c r="G22" s="2"/>
      <c r="H22" s="2"/>
      <c r="I22" s="2"/>
      <c r="J22" s="23"/>
      <c r="K22" s="2"/>
      <c r="L22" s="2">
        <f t="shared" si="0"/>
        <v>-521.45000000000005</v>
      </c>
      <c r="M22" s="2"/>
      <c r="N22" s="23">
        <f t="shared" si="1"/>
        <v>0</v>
      </c>
      <c r="O22" s="11"/>
      <c r="P22" s="2">
        <f>-521.45</f>
        <v>-521.45000000000005</v>
      </c>
      <c r="Q22" s="2"/>
      <c r="R22" s="23"/>
      <c r="S22" s="2"/>
      <c r="T22" s="2"/>
      <c r="U22" s="2"/>
      <c r="V22" s="23"/>
      <c r="W22" s="2"/>
      <c r="X22" s="2">
        <f t="shared" si="2"/>
        <v>-521.45000000000005</v>
      </c>
      <c r="Y22" s="2"/>
      <c r="Z22" s="23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x14ac:dyDescent="0.25">
      <c r="A26" s="10"/>
      <c r="B26" s="26" t="s">
        <v>6</v>
      </c>
      <c r="C26" s="26"/>
      <c r="D26" s="21">
        <f>D12-D24</f>
        <v>47524.27</v>
      </c>
      <c r="E26" s="13"/>
      <c r="F26" s="20">
        <f>IF(D$12=0,0,D26/D$12)</f>
        <v>1</v>
      </c>
      <c r="G26" s="13"/>
      <c r="H26" s="21">
        <f>H12-H24</f>
        <v>68513</v>
      </c>
      <c r="I26" s="13"/>
      <c r="J26" s="20">
        <f>IF(H$12=0,0,H26/H$12)</f>
        <v>1</v>
      </c>
      <c r="K26" s="16"/>
      <c r="L26" s="21">
        <f>+D26-H26</f>
        <v>-20988.730000000003</v>
      </c>
      <c r="M26" s="16"/>
      <c r="N26" s="20">
        <f>IF(H26=0,0,L26/H26)</f>
        <v>-0.30634667873250337</v>
      </c>
      <c r="O26" s="25"/>
      <c r="P26" s="21">
        <f>P12-P24</f>
        <v>52372.140000000007</v>
      </c>
      <c r="Q26" s="13"/>
      <c r="R26" s="20">
        <f>IF(P$12=0,0,P26/P$12)</f>
        <v>1</v>
      </c>
      <c r="S26" s="13"/>
      <c r="T26" s="21">
        <f>T12-T24</f>
        <v>71513</v>
      </c>
      <c r="U26" s="13"/>
      <c r="V26" s="20">
        <f>IF(T$12=0,0,T26/T$12)</f>
        <v>1</v>
      </c>
      <c r="W26" s="16"/>
      <c r="X26" s="21">
        <f>+P26-T26</f>
        <v>-19140.859999999993</v>
      </c>
      <c r="Y26" s="16"/>
      <c r="Z26" s="20">
        <f>IF(T26=0,0,X26/T26)</f>
        <v>-0.26765567099688159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2" customFormat="1" x14ac:dyDescent="0.25">
      <c r="A28" s="10"/>
      <c r="B28" s="25" t="s">
        <v>9</v>
      </c>
      <c r="C28" s="10"/>
      <c r="D28" s="19">
        <f>SUM(OSRRefD22x_0)</f>
        <v>-50410.609999999986</v>
      </c>
      <c r="E28" s="19"/>
      <c r="F28" s="30">
        <f t="shared" ref="F28:F38" si="4">IF(D$12=0,0,D28/D$12)</f>
        <v>-1.0607340207435061</v>
      </c>
      <c r="G28" s="19"/>
      <c r="H28" s="19">
        <f>SUM(OSRRefH22x_0)</f>
        <v>33533.43161699234</v>
      </c>
      <c r="I28" s="19"/>
      <c r="J28" s="30">
        <f t="shared" ref="J28:J38" si="5">IF(H$12=0,0,H28/H$12)</f>
        <v>0.48944626008191644</v>
      </c>
      <c r="K28" s="4"/>
      <c r="L28" s="19">
        <f t="shared" ref="L28:L38" si="6">+D28-H28</f>
        <v>-83944.041616992326</v>
      </c>
      <c r="M28" s="4"/>
      <c r="N28" s="30">
        <f t="shared" ref="N28:N38" si="7">IF(H28=0,0,L28/H28)</f>
        <v>-2.5032941029052185</v>
      </c>
      <c r="O28" s="10"/>
      <c r="P28" s="19">
        <f>SUM(OSRRefP22x_0)</f>
        <v>-1256.6600000000039</v>
      </c>
      <c r="Q28" s="19"/>
      <c r="R28" s="30">
        <f t="shared" ref="R28:R38" si="8">IF(P$12=0,0,P28/P$12)</f>
        <v>-2.3994818619212502E-2</v>
      </c>
      <c r="S28" s="19"/>
      <c r="T28" s="19">
        <f>SUM(OSRRefT22x_0)</f>
        <v>63413.950893232744</v>
      </c>
      <c r="U28" s="19"/>
      <c r="V28" s="30">
        <f t="shared" ref="V28:V38" si="9">IF(T$12=0,0,T28/T$12)</f>
        <v>0.88674717734164066</v>
      </c>
      <c r="W28" s="4"/>
      <c r="X28" s="19">
        <f t="shared" ref="X28:X38" si="10">+P28-T28</f>
        <v>-64670.610893232748</v>
      </c>
      <c r="Y28" s="4"/>
      <c r="Z28" s="30">
        <f t="shared" ref="Z28:Z38" si="11">IF(T28=0,0,X28/T28)</f>
        <v>-1.0198167750518461</v>
      </c>
    </row>
    <row r="29" spans="1:26" s="29" customFormat="1" outlineLevel="1" collapsed="1" x14ac:dyDescent="0.25">
      <c r="A29" s="28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8903.2699999999986</v>
      </c>
      <c r="E29" s="1"/>
      <c r="F29" s="5">
        <f t="shared" si="4"/>
        <v>0.18734154149027432</v>
      </c>
      <c r="G29" s="1"/>
      <c r="H29" s="1">
        <f>SUM(OSRRefH22_0x_0)</f>
        <v>6334.9230554538444</v>
      </c>
      <c r="I29" s="1"/>
      <c r="J29" s="5">
        <f t="shared" si="5"/>
        <v>9.2463080808807732E-2</v>
      </c>
      <c r="K29" s="1"/>
      <c r="L29" s="1">
        <f t="shared" si="6"/>
        <v>2568.3469445461542</v>
      </c>
      <c r="M29" s="1"/>
      <c r="N29" s="5">
        <f t="shared" si="7"/>
        <v>0.40542669927695807</v>
      </c>
      <c r="O29" s="14"/>
      <c r="P29" s="1">
        <f>SUM(OSRRefP22_0x_0)</f>
        <v>16833.55</v>
      </c>
      <c r="Q29" s="1"/>
      <c r="R29" s="5">
        <f t="shared" si="8"/>
        <v>0.32142184757010117</v>
      </c>
      <c r="S29" s="1"/>
      <c r="T29" s="1">
        <f>SUM(OSRRefT22_0x_0)</f>
        <v>13727.556629771147</v>
      </c>
      <c r="U29" s="1"/>
      <c r="V29" s="5">
        <f t="shared" si="9"/>
        <v>0.19195889740006916</v>
      </c>
      <c r="W29" s="1"/>
      <c r="X29" s="1">
        <f t="shared" si="10"/>
        <v>3105.9933702288527</v>
      </c>
      <c r="Y29" s="1"/>
      <c r="Z29" s="5">
        <f t="shared" si="11"/>
        <v>0.22625973827657289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1290.1199999999999</v>
      </c>
      <c r="E30" s="2"/>
      <c r="F30" s="7">
        <f t="shared" si="4"/>
        <v>2.7146550594043844E-2</v>
      </c>
      <c r="G30" s="2"/>
      <c r="H30" s="6">
        <v>1005.53020137692</v>
      </c>
      <c r="I30" s="2"/>
      <c r="J30" s="7">
        <f t="shared" si="5"/>
        <v>1.467648769396932E-2</v>
      </c>
      <c r="K30" s="2"/>
      <c r="L30" s="6">
        <f t="shared" si="6"/>
        <v>284.5897986230799</v>
      </c>
      <c r="M30" s="2"/>
      <c r="N30" s="7">
        <f t="shared" si="7"/>
        <v>0.28302461550471347</v>
      </c>
      <c r="O30" s="11"/>
      <c r="P30" s="6">
        <v>2333.48</v>
      </c>
      <c r="Q30" s="2"/>
      <c r="R30" s="7">
        <f t="shared" si="8"/>
        <v>4.4555750442888141E-2</v>
      </c>
      <c r="S30" s="2"/>
      <c r="T30" s="6">
        <v>2392.1421705980697</v>
      </c>
      <c r="U30" s="2"/>
      <c r="V30" s="7">
        <f t="shared" si="9"/>
        <v>3.3450451954163157E-2</v>
      </c>
      <c r="W30" s="2"/>
      <c r="X30" s="6">
        <f t="shared" si="10"/>
        <v>-58.662170598069679</v>
      </c>
      <c r="Y30" s="2"/>
      <c r="Z30" s="7">
        <f t="shared" si="11"/>
        <v>-2.4522861274337761E-2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311.95999999999998</v>
      </c>
      <c r="E31" s="2"/>
      <c r="F31" s="7">
        <f t="shared" si="4"/>
        <v>6.5642249738922867E-3</v>
      </c>
      <c r="G31" s="2"/>
      <c r="H31" s="6">
        <v>259.54636192307703</v>
      </c>
      <c r="I31" s="2"/>
      <c r="J31" s="7">
        <f t="shared" si="5"/>
        <v>3.7882790408108975E-3</v>
      </c>
      <c r="K31" s="2"/>
      <c r="L31" s="6">
        <f t="shared" si="6"/>
        <v>52.41363807692295</v>
      </c>
      <c r="M31" s="2"/>
      <c r="N31" s="7">
        <f t="shared" si="7"/>
        <v>0.20194325857072512</v>
      </c>
      <c r="O31" s="11"/>
      <c r="P31" s="6">
        <v>605.57000000000005</v>
      </c>
      <c r="Q31" s="2"/>
      <c r="R31" s="7">
        <f t="shared" si="8"/>
        <v>1.1562827106167515E-2</v>
      </c>
      <c r="S31" s="2"/>
      <c r="T31" s="6">
        <v>594.73937682692303</v>
      </c>
      <c r="U31" s="2"/>
      <c r="V31" s="7">
        <f t="shared" si="9"/>
        <v>8.3165211475804829E-3</v>
      </c>
      <c r="W31" s="2"/>
      <c r="X31" s="6">
        <f t="shared" si="10"/>
        <v>10.830623173077015</v>
      </c>
      <c r="Y31" s="2"/>
      <c r="Z31" s="7">
        <f t="shared" si="11"/>
        <v>1.8210704713821007E-2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3321.73</v>
      </c>
      <c r="E32" s="2"/>
      <c r="F32" s="7">
        <f t="shared" si="4"/>
        <v>6.9895445001048939E-2</v>
      </c>
      <c r="G32" s="2"/>
      <c r="H32" s="6">
        <v>2645</v>
      </c>
      <c r="I32" s="2"/>
      <c r="J32" s="7">
        <f t="shared" si="5"/>
        <v>3.8605812035672059E-2</v>
      </c>
      <c r="K32" s="2"/>
      <c r="L32" s="6">
        <f t="shared" si="6"/>
        <v>676.73</v>
      </c>
      <c r="M32" s="2"/>
      <c r="N32" s="7">
        <f t="shared" si="7"/>
        <v>0.25585255198487711</v>
      </c>
      <c r="O32" s="11"/>
      <c r="P32" s="6">
        <v>6046.21</v>
      </c>
      <c r="Q32" s="2"/>
      <c r="R32" s="7">
        <f t="shared" si="8"/>
        <v>0.11544706784943291</v>
      </c>
      <c r="S32" s="2"/>
      <c r="T32" s="6">
        <v>5290</v>
      </c>
      <c r="U32" s="2"/>
      <c r="V32" s="7">
        <f t="shared" si="9"/>
        <v>7.3972564428845103E-2</v>
      </c>
      <c r="W32" s="2"/>
      <c r="X32" s="6">
        <f t="shared" si="10"/>
        <v>756.21</v>
      </c>
      <c r="Y32" s="2"/>
      <c r="Z32" s="7">
        <f t="shared" si="11"/>
        <v>0.14295085066162572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43.84</v>
      </c>
      <c r="E33" s="2"/>
      <c r="F33" s="7">
        <f t="shared" si="4"/>
        <v>9.2247603172021379E-4</v>
      </c>
      <c r="G33" s="2"/>
      <c r="H33" s="6">
        <v>39.620185999999997</v>
      </c>
      <c r="I33" s="2"/>
      <c r="J33" s="7">
        <f t="shared" si="5"/>
        <v>5.7828712799030838E-4</v>
      </c>
      <c r="K33" s="2"/>
      <c r="L33" s="6">
        <f t="shared" si="6"/>
        <v>4.2198140000000066</v>
      </c>
      <c r="M33" s="2"/>
      <c r="N33" s="7">
        <f t="shared" si="7"/>
        <v>0.1065066680908567</v>
      </c>
      <c r="O33" s="11"/>
      <c r="P33" s="6">
        <v>85.1</v>
      </c>
      <c r="Q33" s="2"/>
      <c r="R33" s="7">
        <f t="shared" si="8"/>
        <v>1.6249097325410035E-3</v>
      </c>
      <c r="S33" s="2"/>
      <c r="T33" s="6">
        <v>86.728393499999996</v>
      </c>
      <c r="U33" s="2"/>
      <c r="V33" s="7">
        <f t="shared" si="9"/>
        <v>1.2127640219260834E-3</v>
      </c>
      <c r="W33" s="2"/>
      <c r="X33" s="6">
        <f t="shared" si="10"/>
        <v>-1.6283935000000014</v>
      </c>
      <c r="Y33" s="2"/>
      <c r="Z33" s="7">
        <f t="shared" si="11"/>
        <v>-1.8775783042724082E-2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1614.45</v>
      </c>
      <c r="E34" s="2"/>
      <c r="F34" s="7">
        <f t="shared" si="4"/>
        <v>3.3971063627068865E-2</v>
      </c>
      <c r="G34" s="2"/>
      <c r="H34" s="6">
        <v>991.92684461538511</v>
      </c>
      <c r="I34" s="2"/>
      <c r="J34" s="7">
        <f t="shared" si="5"/>
        <v>1.4477936225466483E-2</v>
      </c>
      <c r="K34" s="2"/>
      <c r="L34" s="6">
        <f t="shared" si="6"/>
        <v>622.52315538461494</v>
      </c>
      <c r="M34" s="2"/>
      <c r="N34" s="7">
        <f t="shared" si="7"/>
        <v>0.62758978523864362</v>
      </c>
      <c r="O34" s="11"/>
      <c r="P34" s="6">
        <v>3680.91</v>
      </c>
      <c r="Q34" s="2"/>
      <c r="R34" s="7">
        <f t="shared" si="8"/>
        <v>7.028374246307291E-2</v>
      </c>
      <c r="S34" s="2"/>
      <c r="T34" s="6">
        <v>2231.8354003846152</v>
      </c>
      <c r="U34" s="2"/>
      <c r="V34" s="7">
        <f t="shared" si="9"/>
        <v>3.1208806795752036E-2</v>
      </c>
      <c r="W34" s="2"/>
      <c r="X34" s="6">
        <f t="shared" si="10"/>
        <v>1449.0745996153846</v>
      </c>
      <c r="Y34" s="2"/>
      <c r="Z34" s="7">
        <f t="shared" si="11"/>
        <v>0.64927485215337277</v>
      </c>
    </row>
    <row r="35" spans="1:26" s="24" customFormat="1" hidden="1" outlineLevel="2" x14ac:dyDescent="0.25">
      <c r="A35" s="27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4"/>
        <v>0</v>
      </c>
      <c r="G35" s="2"/>
      <c r="H35" s="6">
        <v>0</v>
      </c>
      <c r="I35" s="2"/>
      <c r="J35" s="7">
        <f t="shared" si="5"/>
        <v>0</v>
      </c>
      <c r="K35" s="2"/>
      <c r="L35" s="6">
        <f t="shared" si="6"/>
        <v>0</v>
      </c>
      <c r="M35" s="2"/>
      <c r="N35" s="7">
        <f t="shared" si="7"/>
        <v>0</v>
      </c>
      <c r="O35" s="11"/>
      <c r="P35" s="6"/>
      <c r="Q35" s="2"/>
      <c r="R35" s="7">
        <f t="shared" si="8"/>
        <v>0</v>
      </c>
      <c r="S35" s="2"/>
      <c r="T35" s="6">
        <v>0</v>
      </c>
      <c r="U35" s="2"/>
      <c r="V35" s="7">
        <f t="shared" si="9"/>
        <v>0</v>
      </c>
      <c r="W35" s="2"/>
      <c r="X35" s="6">
        <f t="shared" si="10"/>
        <v>0</v>
      </c>
      <c r="Y35" s="2"/>
      <c r="Z35" s="7">
        <f t="shared" si="11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4"/>
        <v>2.5589030615304559E-2</v>
      </c>
      <c r="G36" s="2"/>
      <c r="H36" s="6">
        <v>956.61308461538511</v>
      </c>
      <c r="I36" s="2"/>
      <c r="J36" s="7">
        <f t="shared" si="5"/>
        <v>1.3962504701522122E-2</v>
      </c>
      <c r="K36" s="2"/>
      <c r="L36" s="6">
        <f t="shared" si="6"/>
        <v>259.4869153846148</v>
      </c>
      <c r="M36" s="2"/>
      <c r="N36" s="7">
        <f t="shared" si="7"/>
        <v>0.27125587090306613</v>
      </c>
      <c r="O36" s="11"/>
      <c r="P36" s="6">
        <v>2194.98</v>
      </c>
      <c r="Q36" s="2"/>
      <c r="R36" s="7">
        <f t="shared" si="8"/>
        <v>4.1911214626708014E-2</v>
      </c>
      <c r="S36" s="2"/>
      <c r="T36" s="6">
        <v>2152.379440384615</v>
      </c>
      <c r="U36" s="2"/>
      <c r="V36" s="7">
        <f t="shared" si="9"/>
        <v>3.0097736640675332E-2</v>
      </c>
      <c r="W36" s="2"/>
      <c r="X36" s="6">
        <f t="shared" si="10"/>
        <v>42.600559615385009</v>
      </c>
      <c r="Y36" s="2"/>
      <c r="Z36" s="7">
        <f t="shared" si="11"/>
        <v>1.9792309300154153E-2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4"/>
        <v>1.5539428590907341E-2</v>
      </c>
      <c r="G37" s="2"/>
      <c r="H37" s="6">
        <v>436.68637692307703</v>
      </c>
      <c r="I37" s="2"/>
      <c r="J37" s="7">
        <f t="shared" si="5"/>
        <v>6.3737739833765418E-3</v>
      </c>
      <c r="K37" s="2"/>
      <c r="L37" s="6">
        <f t="shared" si="6"/>
        <v>301.81362307692297</v>
      </c>
      <c r="M37" s="2"/>
      <c r="N37" s="7">
        <f t="shared" si="7"/>
        <v>0.69114503915492631</v>
      </c>
      <c r="O37" s="11"/>
      <c r="P37" s="6">
        <v>1371.02</v>
      </c>
      <c r="Q37" s="2"/>
      <c r="R37" s="7">
        <f t="shared" si="8"/>
        <v>2.6178422344399137E-2</v>
      </c>
      <c r="S37" s="2"/>
      <c r="T37" s="6">
        <v>979.73184807692292</v>
      </c>
      <c r="U37" s="2"/>
      <c r="V37" s="7">
        <f t="shared" si="9"/>
        <v>1.3700052411126968E-2</v>
      </c>
      <c r="W37" s="2"/>
      <c r="X37" s="6">
        <f t="shared" si="10"/>
        <v>391.28815192307707</v>
      </c>
      <c r="Y37" s="2"/>
      <c r="Z37" s="7">
        <f t="shared" si="11"/>
        <v>0.39938290532365683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366.57</v>
      </c>
      <c r="E38" s="2"/>
      <c r="F38" s="7">
        <f t="shared" si="4"/>
        <v>7.7133220562882925E-3</v>
      </c>
      <c r="G38" s="2"/>
      <c r="H38" s="6"/>
      <c r="I38" s="2"/>
      <c r="J38" s="7">
        <f t="shared" si="5"/>
        <v>0</v>
      </c>
      <c r="K38" s="2"/>
      <c r="L38" s="6">
        <f t="shared" si="6"/>
        <v>366.57</v>
      </c>
      <c r="M38" s="2"/>
      <c r="N38" s="7">
        <f t="shared" si="7"/>
        <v>0</v>
      </c>
      <c r="O38" s="11"/>
      <c r="P38" s="6">
        <v>516.28</v>
      </c>
      <c r="Q38" s="2"/>
      <c r="R38" s="7">
        <f t="shared" si="8"/>
        <v>9.857913004891531E-3</v>
      </c>
      <c r="S38" s="2"/>
      <c r="T38" s="6"/>
      <c r="U38" s="2"/>
      <c r="V38" s="7">
        <f t="shared" si="9"/>
        <v>0</v>
      </c>
      <c r="W38" s="2"/>
      <c r="X38" s="6">
        <f t="shared" si="10"/>
        <v>516.28</v>
      </c>
      <c r="Y38" s="2"/>
      <c r="Z38" s="7">
        <f t="shared" si="11"/>
        <v>0</v>
      </c>
    </row>
    <row r="39" spans="1:26" s="29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13505.78</v>
      </c>
      <c r="E39" s="1"/>
      <c r="F39" s="5">
        <f t="shared" ref="F39:F49" si="12">IF(D$12=0,0,D39/D$12)</f>
        <v>0.28418700592349977</v>
      </c>
      <c r="G39" s="1"/>
      <c r="H39" s="1">
        <f>SUM(OSRRefH22_1x_0)</f>
        <v>10197.5085615385</v>
      </c>
      <c r="I39" s="1"/>
      <c r="J39" s="5">
        <f t="shared" ref="J39:J49" si="13">IF(H$12=0,0,H39/H$12)</f>
        <v>0.1488404910241633</v>
      </c>
      <c r="K39" s="1"/>
      <c r="L39" s="1">
        <f t="shared" ref="L39:L49" si="14">+D39-H39</f>
        <v>3308.271438461501</v>
      </c>
      <c r="M39" s="1"/>
      <c r="N39" s="5">
        <f t="shared" ref="N39:N49" si="15">IF(H39=0,0,L39/H39)</f>
        <v>0.3244195793999296</v>
      </c>
      <c r="O39" s="14"/>
      <c r="P39" s="1">
        <f>SUM(OSRRefP22_1x_0)</f>
        <v>28565.72</v>
      </c>
      <c r="Q39" s="1"/>
      <c r="R39" s="5">
        <f t="shared" ref="R39:R49" si="16">IF(P$12=0,0,P39/P$12)</f>
        <v>0.54543732602868622</v>
      </c>
      <c r="S39" s="1"/>
      <c r="T39" s="1">
        <f>SUM(OSRRefT22_1x_0)</f>
        <v>22944.3942634616</v>
      </c>
      <c r="U39" s="1"/>
      <c r="V39" s="5">
        <f t="shared" ref="V39:V49" si="17">IF(T$12=0,0,T39/T$12)</f>
        <v>0.32084228410864596</v>
      </c>
      <c r="W39" s="1"/>
      <c r="X39" s="1">
        <f t="shared" ref="X39:X49" si="18">+P39-T39</f>
        <v>5621.3257365384015</v>
      </c>
      <c r="Y39" s="1"/>
      <c r="Z39" s="5">
        <f t="shared" ref="Z39:Z49" si="19">IF(T39=0,0,X39/T39)</f>
        <v>0.24499778342330128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12050.26</v>
      </c>
      <c r="E41" s="2"/>
      <c r="F41" s="7">
        <f t="shared" si="12"/>
        <v>0.25356012833021951</v>
      </c>
      <c r="G41" s="2"/>
      <c r="H41" s="6">
        <v>10197.5085615385</v>
      </c>
      <c r="I41" s="2"/>
      <c r="J41" s="7">
        <f t="shared" si="13"/>
        <v>0.1488404910241633</v>
      </c>
      <c r="K41" s="2"/>
      <c r="L41" s="6">
        <f t="shared" si="14"/>
        <v>1852.7514384615006</v>
      </c>
      <c r="M41" s="2"/>
      <c r="N41" s="7">
        <f t="shared" si="15"/>
        <v>0.18168667643481495</v>
      </c>
      <c r="O41" s="11"/>
      <c r="P41" s="6">
        <v>27110.2</v>
      </c>
      <c r="Q41" s="2"/>
      <c r="R41" s="7">
        <f t="shared" si="16"/>
        <v>0.51764545042459598</v>
      </c>
      <c r="S41" s="2"/>
      <c r="T41" s="6">
        <v>22944.3942634616</v>
      </c>
      <c r="U41" s="2"/>
      <c r="V41" s="7">
        <f t="shared" si="17"/>
        <v>0.32084228410864596</v>
      </c>
      <c r="W41" s="2"/>
      <c r="X41" s="6">
        <f t="shared" si="18"/>
        <v>4165.8057365384011</v>
      </c>
      <c r="Y41" s="2"/>
      <c r="Z41" s="7">
        <f t="shared" si="19"/>
        <v>0.18156093766102804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2"/>
        <v>0</v>
      </c>
      <c r="G43" s="2"/>
      <c r="H43" s="6">
        <v>0</v>
      </c>
      <c r="I43" s="2"/>
      <c r="J43" s="7">
        <f t="shared" si="13"/>
        <v>0</v>
      </c>
      <c r="K43" s="2"/>
      <c r="L43" s="6">
        <f t="shared" si="14"/>
        <v>0</v>
      </c>
      <c r="M43" s="2"/>
      <c r="N43" s="7">
        <f t="shared" si="15"/>
        <v>0</v>
      </c>
      <c r="O43" s="11"/>
      <c r="P43" s="6"/>
      <c r="Q43" s="2"/>
      <c r="R43" s="7">
        <f t="shared" si="16"/>
        <v>0</v>
      </c>
      <c r="S43" s="2"/>
      <c r="T43" s="6">
        <v>0</v>
      </c>
      <c r="U43" s="2"/>
      <c r="V43" s="7">
        <f t="shared" si="17"/>
        <v>0</v>
      </c>
      <c r="W43" s="2"/>
      <c r="X43" s="6">
        <f t="shared" si="18"/>
        <v>0</v>
      </c>
      <c r="Y43" s="2"/>
      <c r="Z43" s="7">
        <f t="shared" si="19"/>
        <v>0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383.25</v>
      </c>
      <c r="E44" s="2"/>
      <c r="F44" s="7">
        <f t="shared" si="12"/>
        <v>8.0643006194519151E-3</v>
      </c>
      <c r="G44" s="2"/>
      <c r="H44" s="6">
        <v>0</v>
      </c>
      <c r="I44" s="2"/>
      <c r="J44" s="7">
        <f t="shared" si="13"/>
        <v>0</v>
      </c>
      <c r="K44" s="2"/>
      <c r="L44" s="6">
        <f t="shared" si="14"/>
        <v>383.25</v>
      </c>
      <c r="M44" s="2"/>
      <c r="N44" s="7">
        <f t="shared" si="15"/>
        <v>0</v>
      </c>
      <c r="O44" s="11"/>
      <c r="P44" s="6">
        <v>383.25</v>
      </c>
      <c r="Q44" s="2"/>
      <c r="R44" s="7">
        <f t="shared" si="16"/>
        <v>7.3178220328594546E-3</v>
      </c>
      <c r="S44" s="2"/>
      <c r="T44" s="6">
        <v>0</v>
      </c>
      <c r="U44" s="2"/>
      <c r="V44" s="7">
        <f t="shared" si="17"/>
        <v>0</v>
      </c>
      <c r="W44" s="2"/>
      <c r="X44" s="6">
        <f t="shared" si="18"/>
        <v>383.25</v>
      </c>
      <c r="Y44" s="2"/>
      <c r="Z44" s="7">
        <f t="shared" si="19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2"/>
        <v>0</v>
      </c>
      <c r="G45" s="2"/>
      <c r="H45" s="6">
        <v>0</v>
      </c>
      <c r="I45" s="2"/>
      <c r="J45" s="7">
        <f t="shared" si="13"/>
        <v>0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/>
      <c r="Q45" s="2"/>
      <c r="R45" s="7">
        <f t="shared" si="16"/>
        <v>0</v>
      </c>
      <c r="S45" s="2"/>
      <c r="T45" s="6">
        <v>0</v>
      </c>
      <c r="U45" s="2"/>
      <c r="V45" s="7">
        <f t="shared" si="17"/>
        <v>0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1072.27</v>
      </c>
      <c r="E46" s="2"/>
      <c r="F46" s="7">
        <f t="shared" si="12"/>
        <v>2.2562576973828321E-2</v>
      </c>
      <c r="G46" s="2"/>
      <c r="H46" s="6">
        <v>0</v>
      </c>
      <c r="I46" s="2"/>
      <c r="J46" s="7">
        <f t="shared" si="13"/>
        <v>0</v>
      </c>
      <c r="K46" s="2"/>
      <c r="L46" s="6">
        <f t="shared" si="14"/>
        <v>1072.27</v>
      </c>
      <c r="M46" s="2"/>
      <c r="N46" s="7">
        <f t="shared" si="15"/>
        <v>0</v>
      </c>
      <c r="O46" s="11"/>
      <c r="P46" s="6">
        <v>1072.27</v>
      </c>
      <c r="Q46" s="2"/>
      <c r="R46" s="7">
        <f t="shared" si="16"/>
        <v>2.0474053571230808E-2</v>
      </c>
      <c r="S46" s="2"/>
      <c r="T46" s="6">
        <v>0</v>
      </c>
      <c r="U46" s="2"/>
      <c r="V46" s="7">
        <f t="shared" si="17"/>
        <v>0</v>
      </c>
      <c r="W46" s="2"/>
      <c r="X46" s="6">
        <f t="shared" si="18"/>
        <v>1072.27</v>
      </c>
      <c r="Y46" s="2"/>
      <c r="Z46" s="7">
        <f t="shared" si="19"/>
        <v>0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2"/>
        <v>0</v>
      </c>
      <c r="G47" s="2"/>
      <c r="H47" s="6">
        <v>0</v>
      </c>
      <c r="I47" s="2"/>
      <c r="J47" s="7">
        <f t="shared" si="13"/>
        <v>0</v>
      </c>
      <c r="K47" s="2"/>
      <c r="L47" s="6">
        <f t="shared" si="14"/>
        <v>0</v>
      </c>
      <c r="M47" s="2"/>
      <c r="N47" s="7">
        <f t="shared" si="15"/>
        <v>0</v>
      </c>
      <c r="O47" s="11"/>
      <c r="P47" s="6"/>
      <c r="Q47" s="2"/>
      <c r="R47" s="7">
        <f t="shared" si="16"/>
        <v>0</v>
      </c>
      <c r="S47" s="2"/>
      <c r="T47" s="6">
        <v>0</v>
      </c>
      <c r="U47" s="2"/>
      <c r="V47" s="7">
        <f t="shared" si="17"/>
        <v>0</v>
      </c>
      <c r="W47" s="2"/>
      <c r="X47" s="6">
        <f t="shared" si="18"/>
        <v>0</v>
      </c>
      <c r="Y47" s="2"/>
      <c r="Z47" s="7">
        <f t="shared" si="19"/>
        <v>0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2"/>
        <v>0</v>
      </c>
      <c r="G48" s="2"/>
      <c r="H48" s="6">
        <v>0</v>
      </c>
      <c r="I48" s="2"/>
      <c r="J48" s="7">
        <f t="shared" si="13"/>
        <v>0</v>
      </c>
      <c r="K48" s="2"/>
      <c r="L48" s="6">
        <f t="shared" si="14"/>
        <v>0</v>
      </c>
      <c r="M48" s="2"/>
      <c r="N48" s="7">
        <f t="shared" si="15"/>
        <v>0</v>
      </c>
      <c r="O48" s="11"/>
      <c r="P48" s="6"/>
      <c r="Q48" s="2"/>
      <c r="R48" s="7">
        <f t="shared" si="16"/>
        <v>0</v>
      </c>
      <c r="S48" s="2"/>
      <c r="T48" s="6">
        <v>0</v>
      </c>
      <c r="U48" s="2"/>
      <c r="V48" s="7">
        <f t="shared" si="17"/>
        <v>0</v>
      </c>
      <c r="W48" s="2"/>
      <c r="X48" s="6">
        <f t="shared" si="18"/>
        <v>0</v>
      </c>
      <c r="Y48" s="2"/>
      <c r="Z48" s="7">
        <f t="shared" si="19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9" customFormat="1" outlineLevel="1" collapsed="1" x14ac:dyDescent="0.25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0">IF(D$12=0,0,D50/D$12)</f>
        <v>0</v>
      </c>
      <c r="G50" s="1"/>
      <c r="H50" s="1">
        <f>SUM(OSRRefH22_2x_0)</f>
        <v>50</v>
      </c>
      <c r="I50" s="1"/>
      <c r="J50" s="5">
        <f t="shared" ref="J50:J60" si="21">IF(H$12=0,0,H50/H$12)</f>
        <v>7.2978850729058724E-4</v>
      </c>
      <c r="K50" s="1"/>
      <c r="L50" s="1">
        <f t="shared" ref="L50:L60" si="22">+D50-H50</f>
        <v>-50</v>
      </c>
      <c r="M50" s="1"/>
      <c r="N50" s="5">
        <f t="shared" ref="N50:N60" si="23">IF(H50=0,0,L50/H50)</f>
        <v>-1</v>
      </c>
      <c r="O50" s="14"/>
      <c r="P50" s="1">
        <f>SUM(OSRRefP22_2x_0)</f>
        <v>0</v>
      </c>
      <c r="Q50" s="1"/>
      <c r="R50" s="5">
        <f t="shared" ref="R50:R60" si="24">IF(P$12=0,0,P50/P$12)</f>
        <v>0</v>
      </c>
      <c r="S50" s="1"/>
      <c r="T50" s="1">
        <f>SUM(OSRRefT22_2x_0)</f>
        <v>100</v>
      </c>
      <c r="U50" s="1"/>
      <c r="V50" s="5">
        <f t="shared" ref="V50:V60" si="25">IF(T$12=0,0,T50/T$12)</f>
        <v>1.3983471536643686E-3</v>
      </c>
      <c r="W50" s="1"/>
      <c r="X50" s="1">
        <f t="shared" ref="X50:X60" si="26">+P50-T50</f>
        <v>-100</v>
      </c>
      <c r="Y50" s="1"/>
      <c r="Z50" s="5">
        <f t="shared" ref="Z50:Z60" si="27">IF(T50=0,0,X50/T50)</f>
        <v>-1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0"/>
        <v>0</v>
      </c>
      <c r="G51" s="2"/>
      <c r="H51" s="6">
        <v>50</v>
      </c>
      <c r="I51" s="2"/>
      <c r="J51" s="7">
        <f t="shared" si="21"/>
        <v>7.2978850729058724E-4</v>
      </c>
      <c r="K51" s="2"/>
      <c r="L51" s="6">
        <f t="shared" si="22"/>
        <v>-50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1.3983471536643686E-3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9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0"/>
        <v>3.5745946229158282E-3</v>
      </c>
      <c r="G52" s="1"/>
      <c r="H52" s="1">
        <f>SUM(OSRRefH22_3x_0)</f>
        <v>170</v>
      </c>
      <c r="I52" s="1"/>
      <c r="J52" s="5">
        <f t="shared" si="21"/>
        <v>2.4812809247879964E-3</v>
      </c>
      <c r="K52" s="1"/>
      <c r="L52" s="1">
        <f t="shared" si="22"/>
        <v>-0.12000000000000455</v>
      </c>
      <c r="M52" s="1"/>
      <c r="N52" s="5">
        <f t="shared" si="23"/>
        <v>-7.0588235294120319E-4</v>
      </c>
      <c r="O52" s="14"/>
      <c r="P52" s="1">
        <f>SUM(OSRRefP22_3x_0)</f>
        <v>339.76</v>
      </c>
      <c r="Q52" s="1"/>
      <c r="R52" s="5">
        <f t="shared" si="24"/>
        <v>6.4874186924574776E-3</v>
      </c>
      <c r="S52" s="1"/>
      <c r="T52" s="1">
        <f>SUM(OSRRefT22_3x_0)</f>
        <v>340</v>
      </c>
      <c r="U52" s="1"/>
      <c r="V52" s="5">
        <f t="shared" si="25"/>
        <v>4.7543803224588538E-3</v>
      </c>
      <c r="W52" s="1"/>
      <c r="X52" s="1">
        <f t="shared" si="26"/>
        <v>-0.24000000000000909</v>
      </c>
      <c r="Y52" s="1"/>
      <c r="Z52" s="5">
        <f t="shared" si="27"/>
        <v>-7.0588235294120319E-4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0"/>
        <v>3.5745946229158282E-3</v>
      </c>
      <c r="G53" s="2"/>
      <c r="H53" s="6">
        <v>170</v>
      </c>
      <c r="I53" s="2"/>
      <c r="J53" s="7">
        <f t="shared" si="21"/>
        <v>2.4812809247879964E-3</v>
      </c>
      <c r="K53" s="2"/>
      <c r="L53" s="6">
        <f t="shared" si="22"/>
        <v>-0.12000000000000455</v>
      </c>
      <c r="M53" s="2"/>
      <c r="N53" s="7">
        <f t="shared" si="23"/>
        <v>-7.0588235294120319E-4</v>
      </c>
      <c r="O53" s="11"/>
      <c r="P53" s="6">
        <v>339.76</v>
      </c>
      <c r="Q53" s="2"/>
      <c r="R53" s="7">
        <f t="shared" si="24"/>
        <v>6.4874186924574776E-3</v>
      </c>
      <c r="S53" s="2"/>
      <c r="T53" s="6">
        <v>340</v>
      </c>
      <c r="U53" s="2"/>
      <c r="V53" s="7">
        <f t="shared" si="25"/>
        <v>4.7543803224588538E-3</v>
      </c>
      <c r="W53" s="2"/>
      <c r="X53" s="6">
        <f t="shared" si="26"/>
        <v>-0.24000000000000909</v>
      </c>
      <c r="Y53" s="2"/>
      <c r="Z53" s="7">
        <f t="shared" si="27"/>
        <v>-7.0588235294120319E-4</v>
      </c>
    </row>
    <row r="54" spans="1:26" s="29" customFormat="1" outlineLevel="1" collapsed="1" x14ac:dyDescent="0.25">
      <c r="A54" s="28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0"/>
        <v>0</v>
      </c>
      <c r="G54" s="1"/>
      <c r="H54" s="1">
        <f>SUM(OSRRefH22_4x_0)</f>
        <v>50</v>
      </c>
      <c r="I54" s="1"/>
      <c r="J54" s="5">
        <f t="shared" si="21"/>
        <v>7.2978850729058724E-4</v>
      </c>
      <c r="K54" s="1"/>
      <c r="L54" s="1">
        <f t="shared" si="22"/>
        <v>-50</v>
      </c>
      <c r="M54" s="1"/>
      <c r="N54" s="5">
        <f t="shared" si="23"/>
        <v>-1</v>
      </c>
      <c r="O54" s="14"/>
      <c r="P54" s="1">
        <f>SUM(OSRRefP22_4x_0)</f>
        <v>0</v>
      </c>
      <c r="Q54" s="1"/>
      <c r="R54" s="5">
        <f t="shared" si="24"/>
        <v>0</v>
      </c>
      <c r="S54" s="1"/>
      <c r="T54" s="1">
        <f>SUM(OSRRefT22_4x_0)</f>
        <v>100</v>
      </c>
      <c r="U54" s="1"/>
      <c r="V54" s="5">
        <f t="shared" si="25"/>
        <v>1.3983471536643686E-3</v>
      </c>
      <c r="W54" s="1"/>
      <c r="X54" s="1">
        <f t="shared" si="26"/>
        <v>-100</v>
      </c>
      <c r="Y54" s="1"/>
      <c r="Z54" s="5">
        <f t="shared" si="27"/>
        <v>-1</v>
      </c>
    </row>
    <row r="55" spans="1:26" s="24" customFormat="1" hidden="1" outlineLevel="2" x14ac:dyDescent="0.25">
      <c r="A55" s="27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0"/>
        <v>0</v>
      </c>
      <c r="G55" s="2"/>
      <c r="H55" s="6">
        <v>50</v>
      </c>
      <c r="I55" s="2"/>
      <c r="J55" s="7">
        <f t="shared" si="21"/>
        <v>7.2978850729058724E-4</v>
      </c>
      <c r="K55" s="2"/>
      <c r="L55" s="6">
        <f t="shared" si="22"/>
        <v>-50</v>
      </c>
      <c r="M55" s="2"/>
      <c r="N55" s="7">
        <f t="shared" si="23"/>
        <v>-1</v>
      </c>
      <c r="O55" s="11"/>
      <c r="P55" s="6"/>
      <c r="Q55" s="2"/>
      <c r="R55" s="7">
        <f t="shared" si="24"/>
        <v>0</v>
      </c>
      <c r="S55" s="2"/>
      <c r="T55" s="6">
        <v>100</v>
      </c>
      <c r="U55" s="2"/>
      <c r="V55" s="7">
        <f t="shared" si="25"/>
        <v>1.3983471536643686E-3</v>
      </c>
      <c r="W55" s="2"/>
      <c r="X55" s="6">
        <f t="shared" si="26"/>
        <v>-100</v>
      </c>
      <c r="Y55" s="2"/>
      <c r="Z55" s="7">
        <f t="shared" si="27"/>
        <v>-1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0"/>
        <v>2.5368932547517303E-2</v>
      </c>
      <c r="G56" s="1"/>
      <c r="H56" s="1">
        <f>SUM(OSRRefH22_5x_0)</f>
        <v>1206</v>
      </c>
      <c r="I56" s="1"/>
      <c r="J56" s="5">
        <f t="shared" si="21"/>
        <v>1.7602498795848964E-2</v>
      </c>
      <c r="K56" s="1"/>
      <c r="L56" s="1">
        <f t="shared" si="22"/>
        <v>-0.35999999999989996</v>
      </c>
      <c r="M56" s="1"/>
      <c r="N56" s="5">
        <f t="shared" si="23"/>
        <v>-2.9850746268648423E-4</v>
      </c>
      <c r="O56" s="14"/>
      <c r="P56" s="1">
        <f>SUM(OSRRefP22_5x_0)</f>
        <v>2411.2800000000002</v>
      </c>
      <c r="Q56" s="1"/>
      <c r="R56" s="5">
        <f t="shared" si="24"/>
        <v>4.6041273089088966E-2</v>
      </c>
      <c r="S56" s="1"/>
      <c r="T56" s="1">
        <f>SUM(OSRRefT22_5x_0)</f>
        <v>2412</v>
      </c>
      <c r="U56" s="1"/>
      <c r="V56" s="5">
        <f t="shared" si="25"/>
        <v>3.3728133346384574E-2</v>
      </c>
      <c r="W56" s="1"/>
      <c r="X56" s="1">
        <f t="shared" si="26"/>
        <v>-0.71999999999979991</v>
      </c>
      <c r="Y56" s="1"/>
      <c r="Z56" s="5">
        <f t="shared" si="27"/>
        <v>-2.9850746268648423E-4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0"/>
        <v>2.5368932547517303E-2</v>
      </c>
      <c r="G57" s="2"/>
      <c r="H57" s="6">
        <v>1206</v>
      </c>
      <c r="I57" s="2"/>
      <c r="J57" s="7">
        <f t="shared" si="21"/>
        <v>1.7602498795848964E-2</v>
      </c>
      <c r="K57" s="2"/>
      <c r="L57" s="6">
        <f t="shared" si="22"/>
        <v>-0.35999999999989996</v>
      </c>
      <c r="M57" s="2"/>
      <c r="N57" s="7">
        <f t="shared" si="23"/>
        <v>-2.9850746268648423E-4</v>
      </c>
      <c r="O57" s="11"/>
      <c r="P57" s="6">
        <v>2411.2800000000002</v>
      </c>
      <c r="Q57" s="2"/>
      <c r="R57" s="7">
        <f t="shared" si="24"/>
        <v>4.6041273089088966E-2</v>
      </c>
      <c r="S57" s="2"/>
      <c r="T57" s="6">
        <v>2412</v>
      </c>
      <c r="U57" s="2"/>
      <c r="V57" s="7">
        <f t="shared" si="25"/>
        <v>3.3728133346384574E-2</v>
      </c>
      <c r="W57" s="2"/>
      <c r="X57" s="6">
        <f t="shared" si="26"/>
        <v>-0.71999999999979991</v>
      </c>
      <c r="Y57" s="2"/>
      <c r="Z57" s="7">
        <f t="shared" si="27"/>
        <v>-2.9850746268648423E-4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-84423.84</v>
      </c>
      <c r="E58" s="1"/>
      <c r="F58" s="5">
        <f t="shared" si="20"/>
        <v>-1.7764363345297045</v>
      </c>
      <c r="G58" s="1"/>
      <c r="H58" s="1">
        <f>SUM(OSRRefH22_6x_0)</f>
        <v>10060</v>
      </c>
      <c r="I58" s="1"/>
      <c r="J58" s="5">
        <f t="shared" si="21"/>
        <v>0.14683344766686615</v>
      </c>
      <c r="K58" s="1"/>
      <c r="L58" s="1">
        <f t="shared" si="22"/>
        <v>-94483.839999999997</v>
      </c>
      <c r="M58" s="1"/>
      <c r="N58" s="5">
        <f t="shared" si="23"/>
        <v>-9.3920318091451289</v>
      </c>
      <c r="O58" s="14"/>
      <c r="P58" s="1">
        <f>SUM(OSRRefP22_6x_0)</f>
        <v>-75679.08</v>
      </c>
      <c r="Q58" s="1"/>
      <c r="R58" s="5">
        <f t="shared" si="24"/>
        <v>-1.4450255422062186</v>
      </c>
      <c r="S58" s="1"/>
      <c r="T58" s="1">
        <f>SUM(OSRRefT22_6x_0)</f>
        <v>14560</v>
      </c>
      <c r="U58" s="1"/>
      <c r="V58" s="5">
        <f t="shared" si="25"/>
        <v>0.2035993455735321</v>
      </c>
      <c r="W58" s="1"/>
      <c r="X58" s="1">
        <f t="shared" si="26"/>
        <v>-90239.08</v>
      </c>
      <c r="Y58" s="1"/>
      <c r="Z58" s="5">
        <f t="shared" si="27"/>
        <v>-6.1977390109890109</v>
      </c>
    </row>
    <row r="59" spans="1:26" s="24" customFormat="1" hidden="1" outlineLevel="2" x14ac:dyDescent="0.25">
      <c r="A59" s="27"/>
      <c r="B59" s="11" t="str">
        <f>CONCATENATE("          ", "6305", " - ", "FREIGHT OUT")</f>
        <v xml:space="preserve">          6305 - FREIGHT OUT</v>
      </c>
      <c r="C59" s="11"/>
      <c r="D59" s="6">
        <v>7873.15</v>
      </c>
      <c r="E59" s="2"/>
      <c r="F59" s="7">
        <f t="shared" si="20"/>
        <v>0.16566587977048358</v>
      </c>
      <c r="G59" s="2"/>
      <c r="H59" s="6">
        <v>2560</v>
      </c>
      <c r="I59" s="2"/>
      <c r="J59" s="7">
        <f t="shared" si="21"/>
        <v>3.7365171573278066E-2</v>
      </c>
      <c r="K59" s="2"/>
      <c r="L59" s="6">
        <f t="shared" si="22"/>
        <v>5313.15</v>
      </c>
      <c r="M59" s="2"/>
      <c r="N59" s="7">
        <f t="shared" si="23"/>
        <v>2.0754492187499998</v>
      </c>
      <c r="O59" s="11"/>
      <c r="P59" s="6">
        <v>19778.350000000002</v>
      </c>
      <c r="Q59" s="2"/>
      <c r="R59" s="7">
        <f t="shared" si="24"/>
        <v>0.3776502163173015</v>
      </c>
      <c r="S59" s="2"/>
      <c r="T59" s="6">
        <v>3560</v>
      </c>
      <c r="U59" s="2"/>
      <c r="V59" s="7">
        <f t="shared" si="25"/>
        <v>4.9781158670451527E-2</v>
      </c>
      <c r="W59" s="2"/>
      <c r="X59" s="6">
        <f t="shared" si="26"/>
        <v>16218.350000000002</v>
      </c>
      <c r="Y59" s="2"/>
      <c r="Z59" s="7">
        <f t="shared" si="27"/>
        <v>4.5557162921348322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>
        <v>-92296.989999999991</v>
      </c>
      <c r="E60" s="2"/>
      <c r="F60" s="7">
        <f t="shared" si="20"/>
        <v>-1.942102214300188</v>
      </c>
      <c r="G60" s="2"/>
      <c r="H60" s="6">
        <v>7500</v>
      </c>
      <c r="I60" s="2"/>
      <c r="J60" s="7">
        <f t="shared" si="21"/>
        <v>0.10946827609358808</v>
      </c>
      <c r="K60" s="2"/>
      <c r="L60" s="6">
        <f t="shared" si="22"/>
        <v>-99796.989999999991</v>
      </c>
      <c r="M60" s="2"/>
      <c r="N60" s="7">
        <f t="shared" si="23"/>
        <v>-13.306265333333332</v>
      </c>
      <c r="O60" s="11"/>
      <c r="P60" s="6">
        <v>-95457.430000000008</v>
      </c>
      <c r="Q60" s="2"/>
      <c r="R60" s="7">
        <f t="shared" si="24"/>
        <v>-1.8226757585235203</v>
      </c>
      <c r="S60" s="2"/>
      <c r="T60" s="6">
        <v>11000</v>
      </c>
      <c r="U60" s="2"/>
      <c r="V60" s="7">
        <f t="shared" si="25"/>
        <v>0.15381818690308055</v>
      </c>
      <c r="W60" s="2"/>
      <c r="X60" s="6">
        <f t="shared" si="26"/>
        <v>-106457.43000000001</v>
      </c>
      <c r="Y60" s="2"/>
      <c r="Z60" s="7">
        <f t="shared" si="27"/>
        <v>-9.6779481818181825</v>
      </c>
    </row>
    <row r="61" spans="1:26" s="29" customFormat="1" outlineLevel="1" collapsed="1" x14ac:dyDescent="0.25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5225.0200000000004</v>
      </c>
      <c r="E61" s="1"/>
      <c r="F61" s="5">
        <f t="shared" ref="F61:F69" si="28">IF(D$12=0,0,D61/D$12)</f>
        <v>0.10994424532980729</v>
      </c>
      <c r="G61" s="1"/>
      <c r="H61" s="1">
        <f>SUM(OSRRefH22_7x_0)</f>
        <v>2800</v>
      </c>
      <c r="I61" s="1"/>
      <c r="J61" s="5">
        <f t="shared" ref="J61:J69" si="29">IF(H$12=0,0,H61/H$12)</f>
        <v>4.0868156408272883E-2</v>
      </c>
      <c r="K61" s="1"/>
      <c r="L61" s="1">
        <f t="shared" ref="L61:L69" si="30">+D61-H61</f>
        <v>2425.0200000000004</v>
      </c>
      <c r="M61" s="1"/>
      <c r="N61" s="5">
        <f t="shared" ref="N61:N69" si="31">IF(H61=0,0,L61/H61)</f>
        <v>0.86607857142857159</v>
      </c>
      <c r="O61" s="14"/>
      <c r="P61" s="1">
        <f>SUM(OSRRefP22_7x_0)</f>
        <v>11603.12</v>
      </c>
      <c r="Q61" s="1"/>
      <c r="R61" s="5">
        <f t="shared" ref="R61:R69" si="32">IF(P$12=0,0,P61/P$12)</f>
        <v>0.22155138208979047</v>
      </c>
      <c r="S61" s="1"/>
      <c r="T61" s="1">
        <f>SUM(OSRRefT22_7x_0)</f>
        <v>5300</v>
      </c>
      <c r="U61" s="1"/>
      <c r="V61" s="5">
        <f t="shared" ref="V61:V69" si="33">IF(T$12=0,0,T61/T$12)</f>
        <v>7.4112399144211541E-2</v>
      </c>
      <c r="W61" s="1"/>
      <c r="X61" s="1">
        <f t="shared" ref="X61:X69" si="34">+P61-T61</f>
        <v>6303.1200000000008</v>
      </c>
      <c r="Y61" s="1"/>
      <c r="Z61" s="5">
        <f t="shared" ref="Z61:Z69" si="35">IF(T61=0,0,X61/T61)</f>
        <v>1.189267924528302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5225.0200000000004</v>
      </c>
      <c r="E62" s="2"/>
      <c r="F62" s="7">
        <f t="shared" si="28"/>
        <v>0.10994424532980729</v>
      </c>
      <c r="G62" s="2"/>
      <c r="H62" s="6">
        <v>2800</v>
      </c>
      <c r="I62" s="2"/>
      <c r="J62" s="7">
        <f t="shared" si="29"/>
        <v>4.0868156408272883E-2</v>
      </c>
      <c r="K62" s="2"/>
      <c r="L62" s="6">
        <f t="shared" si="30"/>
        <v>2425.0200000000004</v>
      </c>
      <c r="M62" s="2"/>
      <c r="N62" s="7">
        <f t="shared" si="31"/>
        <v>0.86607857142857159</v>
      </c>
      <c r="O62" s="11"/>
      <c r="P62" s="6">
        <v>11603.12</v>
      </c>
      <c r="Q62" s="2"/>
      <c r="R62" s="7">
        <f t="shared" si="32"/>
        <v>0.22155138208979047</v>
      </c>
      <c r="S62" s="2"/>
      <c r="T62" s="6">
        <v>5300</v>
      </c>
      <c r="U62" s="2"/>
      <c r="V62" s="7">
        <f t="shared" si="33"/>
        <v>7.4112399144211541E-2</v>
      </c>
      <c r="W62" s="2"/>
      <c r="X62" s="6">
        <f t="shared" si="34"/>
        <v>6303.1200000000008</v>
      </c>
      <c r="Y62" s="2"/>
      <c r="Z62" s="7">
        <f t="shared" si="35"/>
        <v>1.189267924528302</v>
      </c>
    </row>
    <row r="63" spans="1:26" s="29" customFormat="1" outlineLevel="1" collapsed="1" x14ac:dyDescent="0.25">
      <c r="A63" s="28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SUM(OSRRefD22_8x_0)</f>
        <v>4.6500000000000004</v>
      </c>
      <c r="E63" s="1"/>
      <c r="F63" s="5">
        <f t="shared" si="28"/>
        <v>9.7844743327988009E-5</v>
      </c>
      <c r="G63" s="1"/>
      <c r="H63" s="1">
        <f>SUM(OSRRefH22_8x_0)</f>
        <v>600</v>
      </c>
      <c r="I63" s="1"/>
      <c r="J63" s="5">
        <f t="shared" si="29"/>
        <v>8.757462087487046E-3</v>
      </c>
      <c r="K63" s="1"/>
      <c r="L63" s="1">
        <f t="shared" si="30"/>
        <v>-595.35</v>
      </c>
      <c r="M63" s="1"/>
      <c r="N63" s="5">
        <f t="shared" si="31"/>
        <v>-0.99225000000000008</v>
      </c>
      <c r="O63" s="14"/>
      <c r="P63" s="1">
        <f>SUM(OSRRefP22_8x_0)</f>
        <v>5322.2</v>
      </c>
      <c r="Q63" s="1"/>
      <c r="R63" s="5">
        <f t="shared" si="32"/>
        <v>0.10162273300269951</v>
      </c>
      <c r="S63" s="1"/>
      <c r="T63" s="1">
        <f>SUM(OSRRefT22_8x_0)</f>
        <v>750</v>
      </c>
      <c r="U63" s="1"/>
      <c r="V63" s="5">
        <f t="shared" si="33"/>
        <v>1.0487603652482766E-2</v>
      </c>
      <c r="W63" s="1"/>
      <c r="X63" s="1">
        <f t="shared" si="34"/>
        <v>4572.2</v>
      </c>
      <c r="Y63" s="1"/>
      <c r="Z63" s="5">
        <f t="shared" si="35"/>
        <v>6.0962666666666667</v>
      </c>
    </row>
    <row r="64" spans="1:26" s="24" customFormat="1" hidden="1" outlineLevel="2" x14ac:dyDescent="0.25">
      <c r="A64" s="27"/>
      <c r="B64" s="11" t="str">
        <f>CONCATENATE("          ", "6259", " - ", "ROYALTY &amp; COMMISSIONS")</f>
        <v xml:space="preserve">          6259 - ROYALTY &amp; COMMISSIONS</v>
      </c>
      <c r="C64" s="11"/>
      <c r="D64" s="6">
        <v>4.6500000000000004</v>
      </c>
      <c r="E64" s="2"/>
      <c r="F64" s="7">
        <f t="shared" si="28"/>
        <v>9.7844743327988009E-5</v>
      </c>
      <c r="G64" s="2"/>
      <c r="H64" s="6">
        <v>600</v>
      </c>
      <c r="I64" s="2"/>
      <c r="J64" s="7">
        <f t="shared" si="29"/>
        <v>8.757462087487046E-3</v>
      </c>
      <c r="K64" s="2"/>
      <c r="L64" s="6">
        <f t="shared" si="30"/>
        <v>-595.35</v>
      </c>
      <c r="M64" s="2"/>
      <c r="N64" s="7">
        <f t="shared" si="31"/>
        <v>-0.99225000000000008</v>
      </c>
      <c r="O64" s="11"/>
      <c r="P64" s="6">
        <v>5322.2</v>
      </c>
      <c r="Q64" s="2"/>
      <c r="R64" s="7">
        <f t="shared" si="32"/>
        <v>0.10162273300269951</v>
      </c>
      <c r="S64" s="2"/>
      <c r="T64" s="6">
        <v>750</v>
      </c>
      <c r="U64" s="2"/>
      <c r="V64" s="7">
        <f t="shared" si="33"/>
        <v>1.0487603652482766E-2</v>
      </c>
      <c r="W64" s="2"/>
      <c r="X64" s="6">
        <f t="shared" si="34"/>
        <v>4572.2</v>
      </c>
      <c r="Y64" s="2"/>
      <c r="Z64" s="7">
        <f t="shared" si="35"/>
        <v>6.0962666666666667</v>
      </c>
    </row>
    <row r="65" spans="1:26" s="29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SUM(OSRRefD22_9x_0)</f>
        <v>4783.22</v>
      </c>
      <c r="E65" s="1"/>
      <c r="F65" s="5">
        <f t="shared" si="28"/>
        <v>0.10064794261963415</v>
      </c>
      <c r="G65" s="1"/>
      <c r="H65" s="1">
        <f>SUM(OSRRefH22_9x_0)</f>
        <v>1900</v>
      </c>
      <c r="I65" s="1"/>
      <c r="J65" s="5">
        <f t="shared" si="29"/>
        <v>2.7731963277042315E-2</v>
      </c>
      <c r="K65" s="1"/>
      <c r="L65" s="1">
        <f t="shared" si="30"/>
        <v>2883.2200000000003</v>
      </c>
      <c r="M65" s="1"/>
      <c r="N65" s="5">
        <f t="shared" si="31"/>
        <v>1.517484210526316</v>
      </c>
      <c r="O65" s="14"/>
      <c r="P65" s="1">
        <f>SUM(OSRRefP22_9x_0)</f>
        <v>8931.02</v>
      </c>
      <c r="Q65" s="1"/>
      <c r="R65" s="5">
        <f t="shared" si="32"/>
        <v>0.17052998025285962</v>
      </c>
      <c r="S65" s="1"/>
      <c r="T65" s="1">
        <f>SUM(OSRRefT22_9x_0)</f>
        <v>2850</v>
      </c>
      <c r="U65" s="1"/>
      <c r="V65" s="5">
        <f t="shared" si="33"/>
        <v>3.9852893879434512E-2</v>
      </c>
      <c r="W65" s="1"/>
      <c r="X65" s="1">
        <f t="shared" si="34"/>
        <v>6081.02</v>
      </c>
      <c r="Y65" s="1"/>
      <c r="Z65" s="5">
        <f t="shared" si="35"/>
        <v>2.1336912280701754</v>
      </c>
    </row>
    <row r="66" spans="1:26" s="24" customFormat="1" hidden="1" outlineLevel="2" x14ac:dyDescent="0.25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310.91000000000003</v>
      </c>
      <c r="Q66" s="2"/>
      <c r="R66" s="7">
        <f t="shared" si="32"/>
        <v>5.9365532895925199E-3</v>
      </c>
      <c r="S66" s="2"/>
      <c r="T66" s="6"/>
      <c r="U66" s="2"/>
      <c r="V66" s="7">
        <f t="shared" si="33"/>
        <v>0</v>
      </c>
      <c r="W66" s="2"/>
      <c r="X66" s="6">
        <f t="shared" si="34"/>
        <v>310.91000000000003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6">
        <v>2044.69</v>
      </c>
      <c r="E67" s="2"/>
      <c r="F67" s="7">
        <f t="shared" si="28"/>
        <v>4.3024122201140602E-2</v>
      </c>
      <c r="G67" s="2"/>
      <c r="H67" s="6">
        <v>1500</v>
      </c>
      <c r="I67" s="2"/>
      <c r="J67" s="7">
        <f t="shared" si="29"/>
        <v>2.1893655218717615E-2</v>
      </c>
      <c r="K67" s="2"/>
      <c r="L67" s="6">
        <f t="shared" si="30"/>
        <v>544.69000000000005</v>
      </c>
      <c r="M67" s="2"/>
      <c r="N67" s="7">
        <f t="shared" si="31"/>
        <v>0.36312666666666671</v>
      </c>
      <c r="O67" s="11"/>
      <c r="P67" s="6">
        <v>3124.69</v>
      </c>
      <c r="Q67" s="2"/>
      <c r="R67" s="7">
        <f t="shared" si="32"/>
        <v>5.9663210248807851E-2</v>
      </c>
      <c r="S67" s="2"/>
      <c r="T67" s="6">
        <v>2200</v>
      </c>
      <c r="U67" s="2"/>
      <c r="V67" s="7">
        <f t="shared" si="33"/>
        <v>3.0763637380616111E-2</v>
      </c>
      <c r="W67" s="2"/>
      <c r="X67" s="6">
        <f t="shared" si="34"/>
        <v>924.69</v>
      </c>
      <c r="Y67" s="2"/>
      <c r="Z67" s="7">
        <f t="shared" si="35"/>
        <v>0.42031363636363639</v>
      </c>
    </row>
    <row r="68" spans="1:26" s="24" customFormat="1" hidden="1" outlineLevel="2" x14ac:dyDescent="0.25">
      <c r="A68" s="27"/>
      <c r="B68" s="11" t="str">
        <f>CONCATENATE("          ", "6245", " - ", "PRINTING")</f>
        <v xml:space="preserve">          6245 - PRINTING</v>
      </c>
      <c r="C68" s="11"/>
      <c r="D68" s="6">
        <v>1248</v>
      </c>
      <c r="E68" s="2"/>
      <c r="F68" s="7">
        <f t="shared" si="28"/>
        <v>2.6260266596414845E-2</v>
      </c>
      <c r="G68" s="2"/>
      <c r="H68" s="6">
        <v>300</v>
      </c>
      <c r="I68" s="2"/>
      <c r="J68" s="7">
        <f t="shared" si="29"/>
        <v>4.378731043743523E-3</v>
      </c>
      <c r="K68" s="2"/>
      <c r="L68" s="6">
        <f t="shared" si="30"/>
        <v>948</v>
      </c>
      <c r="M68" s="2"/>
      <c r="N68" s="7">
        <f t="shared" si="31"/>
        <v>3.16</v>
      </c>
      <c r="O68" s="11"/>
      <c r="P68" s="6">
        <v>-295.5</v>
      </c>
      <c r="Q68" s="2"/>
      <c r="R68" s="7">
        <f t="shared" si="32"/>
        <v>-5.6423128785648242E-3</v>
      </c>
      <c r="S68" s="2"/>
      <c r="T68" s="6">
        <v>500</v>
      </c>
      <c r="U68" s="2"/>
      <c r="V68" s="7">
        <f t="shared" si="33"/>
        <v>6.9917357683218434E-3</v>
      </c>
      <c r="W68" s="2"/>
      <c r="X68" s="6">
        <f t="shared" si="34"/>
        <v>-795.5</v>
      </c>
      <c r="Y68" s="2"/>
      <c r="Z68" s="7">
        <f t="shared" si="35"/>
        <v>-1.591</v>
      </c>
    </row>
    <row r="69" spans="1:26" s="24" customFormat="1" hidden="1" outlineLevel="2" x14ac:dyDescent="0.25">
      <c r="A69" s="27"/>
      <c r="B69" s="11" t="str">
        <f>CONCATENATE("          ", "6247", " - ", "STORE SUPPLIES")</f>
        <v xml:space="preserve">          6247 - STORE SUPPLIES</v>
      </c>
      <c r="C69" s="11"/>
      <c r="D69" s="6">
        <v>1490.53</v>
      </c>
      <c r="E69" s="2"/>
      <c r="F69" s="7">
        <f t="shared" si="28"/>
        <v>3.1363553822078699E-2</v>
      </c>
      <c r="G69" s="2"/>
      <c r="H69" s="6">
        <v>100</v>
      </c>
      <c r="I69" s="2"/>
      <c r="J69" s="7">
        <f t="shared" si="29"/>
        <v>1.4595770145811745E-3</v>
      </c>
      <c r="K69" s="2"/>
      <c r="L69" s="6">
        <f t="shared" si="30"/>
        <v>1390.53</v>
      </c>
      <c r="M69" s="2"/>
      <c r="N69" s="7">
        <f t="shared" si="31"/>
        <v>13.9053</v>
      </c>
      <c r="O69" s="11"/>
      <c r="P69" s="6">
        <v>5790.92</v>
      </c>
      <c r="Q69" s="2"/>
      <c r="R69" s="7">
        <f t="shared" si="32"/>
        <v>0.11057252959302406</v>
      </c>
      <c r="S69" s="2"/>
      <c r="T69" s="6">
        <v>150</v>
      </c>
      <c r="U69" s="2"/>
      <c r="V69" s="7">
        <f t="shared" si="33"/>
        <v>2.0975207304965529E-3</v>
      </c>
      <c r="W69" s="2"/>
      <c r="X69" s="6">
        <f t="shared" si="34"/>
        <v>5640.92</v>
      </c>
      <c r="Y69" s="2"/>
      <c r="Z69" s="7">
        <f t="shared" si="35"/>
        <v>37.606133333333332</v>
      </c>
    </row>
    <row r="70" spans="1:26" s="29" customFormat="1" outlineLevel="1" collapsed="1" x14ac:dyDescent="0.25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SUM(OSRRefD22_10x_0)</f>
        <v>200.75</v>
      </c>
      <c r="E70" s="1"/>
      <c r="F70" s="5">
        <f t="shared" ref="F70:F73" si="36">IF(D$12=0,0,D70/D$12)</f>
        <v>4.2241574673319553E-3</v>
      </c>
      <c r="G70" s="1"/>
      <c r="H70" s="1">
        <f>SUM(OSRRefH22_10x_0)</f>
        <v>165</v>
      </c>
      <c r="I70" s="1"/>
      <c r="J70" s="5">
        <f t="shared" ref="J70:J73" si="37">IF(H$12=0,0,H70/H$12)</f>
        <v>2.4083020740589376E-3</v>
      </c>
      <c r="K70" s="1"/>
      <c r="L70" s="1">
        <f t="shared" ref="L70:L73" si="38">+D70-H70</f>
        <v>35.75</v>
      </c>
      <c r="M70" s="1"/>
      <c r="N70" s="5">
        <f t="shared" ref="N70:N73" si="39">IF(H70=0,0,L70/H70)</f>
        <v>0.21666666666666667</v>
      </c>
      <c r="O70" s="14"/>
      <c r="P70" s="1">
        <f>SUM(OSRRefP22_10x_0)</f>
        <v>400.75</v>
      </c>
      <c r="Q70" s="1"/>
      <c r="R70" s="5">
        <f t="shared" ref="R70:R73" si="40">IF(P$12=0,0,P70/P$12)</f>
        <v>7.6519691576475571E-3</v>
      </c>
      <c r="S70" s="1"/>
      <c r="T70" s="1">
        <f>SUM(OSRRefT22_10x_0)</f>
        <v>330</v>
      </c>
      <c r="U70" s="1"/>
      <c r="V70" s="5">
        <f t="shared" ref="V70:V73" si="41">IF(T$12=0,0,T70/T$12)</f>
        <v>4.6145456070924165E-3</v>
      </c>
      <c r="W70" s="1"/>
      <c r="X70" s="1">
        <f t="shared" ref="X70:X73" si="42">+P70-T70</f>
        <v>70.75</v>
      </c>
      <c r="Y70" s="1"/>
      <c r="Z70" s="5">
        <f t="shared" ref="Z70:Z73" si="43">IF(T70=0,0,X70/T70)</f>
        <v>0.21439393939393939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6">
        <v>200.75</v>
      </c>
      <c r="E71" s="2"/>
      <c r="F71" s="7">
        <f t="shared" si="36"/>
        <v>4.2241574673319553E-3</v>
      </c>
      <c r="G71" s="2"/>
      <c r="H71" s="6">
        <v>165</v>
      </c>
      <c r="I71" s="2"/>
      <c r="J71" s="7">
        <f t="shared" si="37"/>
        <v>2.4083020740589376E-3</v>
      </c>
      <c r="K71" s="2"/>
      <c r="L71" s="6">
        <f t="shared" si="38"/>
        <v>35.75</v>
      </c>
      <c r="M71" s="2"/>
      <c r="N71" s="7">
        <f t="shared" si="39"/>
        <v>0.21666666666666667</v>
      </c>
      <c r="O71" s="11"/>
      <c r="P71" s="6">
        <v>400.75</v>
      </c>
      <c r="Q71" s="2"/>
      <c r="R71" s="7">
        <f t="shared" si="40"/>
        <v>7.6519691576475571E-3</v>
      </c>
      <c r="S71" s="2"/>
      <c r="T71" s="6">
        <v>330</v>
      </c>
      <c r="U71" s="2"/>
      <c r="V71" s="7">
        <f t="shared" si="41"/>
        <v>4.6145456070924165E-3</v>
      </c>
      <c r="W71" s="2"/>
      <c r="X71" s="6">
        <f t="shared" si="42"/>
        <v>70.75</v>
      </c>
      <c r="Y71" s="2"/>
      <c r="Z71" s="7">
        <f t="shared" si="43"/>
        <v>0.21439393939393939</v>
      </c>
    </row>
    <row r="72" spans="1:26" s="29" customFormat="1" outlineLevel="1" collapsed="1" x14ac:dyDescent="0.25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SUM(OSRRefD22_11x_0)</f>
        <v>15.02</v>
      </c>
      <c r="E72" s="1"/>
      <c r="F72" s="5">
        <f t="shared" si="36"/>
        <v>3.1604904188954402E-4</v>
      </c>
      <c r="G72" s="1"/>
      <c r="H72" s="1">
        <f>SUM(OSRRefH22_11x_0)</f>
        <v>0</v>
      </c>
      <c r="I72" s="1"/>
      <c r="J72" s="5">
        <f t="shared" si="37"/>
        <v>0</v>
      </c>
      <c r="K72" s="1"/>
      <c r="L72" s="1">
        <f t="shared" si="38"/>
        <v>15.02</v>
      </c>
      <c r="M72" s="1"/>
      <c r="N72" s="5">
        <f t="shared" si="39"/>
        <v>0</v>
      </c>
      <c r="O72" s="14"/>
      <c r="P72" s="1">
        <f>SUM(OSRRefP22_11x_0)</f>
        <v>15.02</v>
      </c>
      <c r="Q72" s="1"/>
      <c r="R72" s="5">
        <f t="shared" si="40"/>
        <v>2.8679370367527466E-4</v>
      </c>
      <c r="S72" s="1"/>
      <c r="T72" s="1">
        <f>SUM(OSRRefT22_11x_0)</f>
        <v>0</v>
      </c>
      <c r="U72" s="1"/>
      <c r="V72" s="5">
        <f t="shared" si="41"/>
        <v>0</v>
      </c>
      <c r="W72" s="1"/>
      <c r="X72" s="1">
        <f t="shared" si="42"/>
        <v>15.02</v>
      </c>
      <c r="Y72" s="1"/>
      <c r="Z72" s="5">
        <f t="shared" si="43"/>
        <v>0</v>
      </c>
    </row>
    <row r="73" spans="1:26" s="24" customFormat="1" hidden="1" outlineLevel="2" x14ac:dyDescent="0.25">
      <c r="A73" s="27"/>
      <c r="B73" s="11" t="str">
        <f>CONCATENATE("          ", "6274", " - ", "UTILITIES")</f>
        <v xml:space="preserve">          6274 - UTILITIES</v>
      </c>
      <c r="C73" s="11"/>
      <c r="D73" s="6">
        <v>15.02</v>
      </c>
      <c r="E73" s="2"/>
      <c r="F73" s="7">
        <f t="shared" si="36"/>
        <v>3.1604904188954402E-4</v>
      </c>
      <c r="G73" s="2"/>
      <c r="H73" s="6"/>
      <c r="I73" s="2"/>
      <c r="J73" s="7">
        <f t="shared" si="37"/>
        <v>0</v>
      </c>
      <c r="K73" s="2"/>
      <c r="L73" s="6">
        <f t="shared" si="38"/>
        <v>15.02</v>
      </c>
      <c r="M73" s="2"/>
      <c r="N73" s="7">
        <f t="shared" si="39"/>
        <v>0</v>
      </c>
      <c r="O73" s="11"/>
      <c r="P73" s="6">
        <v>15.02</v>
      </c>
      <c r="Q73" s="2"/>
      <c r="R73" s="7">
        <f t="shared" si="40"/>
        <v>2.8679370367527466E-4</v>
      </c>
      <c r="S73" s="2"/>
      <c r="T73" s="6"/>
      <c r="U73" s="2"/>
      <c r="V73" s="7">
        <f t="shared" si="41"/>
        <v>0</v>
      </c>
      <c r="W73" s="2"/>
      <c r="X73" s="6">
        <f t="shared" si="42"/>
        <v>15.02</v>
      </c>
      <c r="Y73" s="2"/>
      <c r="Z73" s="7">
        <f t="shared" si="43"/>
        <v>0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2" customFormat="1" collapsed="1" x14ac:dyDescent="0.25">
      <c r="A75" s="10"/>
      <c r="B75" s="25" t="s">
        <v>0</v>
      </c>
      <c r="C75" s="10"/>
      <c r="D75" s="4">
        <f>SUM(OSRRefD25x_0)</f>
        <v>6782</v>
      </c>
      <c r="E75" s="4"/>
      <c r="F75" s="12">
        <f t="shared" ref="F75:F76" si="44">IF(D$12=0,0,D75/D$12)</f>
        <v>0.14270603209686336</v>
      </c>
      <c r="G75" s="4"/>
      <c r="H75" s="4">
        <f>SUM(OSRRefH25x_0)</f>
        <v>6875</v>
      </c>
      <c r="I75" s="4"/>
      <c r="J75" s="12">
        <f t="shared" ref="J75:J76" si="45">IF(H$12=0,0,H75/H$12)</f>
        <v>0.10034591975245574</v>
      </c>
      <c r="K75" s="4"/>
      <c r="L75" s="4">
        <f t="shared" ref="L75:L76" si="46">+D75-H75</f>
        <v>-93</v>
      </c>
      <c r="M75" s="4"/>
      <c r="N75" s="12">
        <f t="shared" ref="N75:N76" si="47">IF(H75=0,0,L75/H75)</f>
        <v>-1.3527272727272728E-2</v>
      </c>
      <c r="O75" s="10"/>
      <c r="P75" s="4">
        <f>SUM(OSRRefP25x_0)</f>
        <v>13564</v>
      </c>
      <c r="Q75" s="4"/>
      <c r="R75" s="12">
        <f t="shared" ref="R75:R76" si="48">IF(P$12=0,0,P75/P$12)</f>
        <v>0.25899266289290446</v>
      </c>
      <c r="S75" s="4"/>
      <c r="T75" s="4">
        <f>SUM(OSRRefT25x_0)</f>
        <v>13750</v>
      </c>
      <c r="U75" s="4"/>
      <c r="V75" s="12">
        <f t="shared" ref="V75:V76" si="49">IF(T$12=0,0,T75/T$12)</f>
        <v>0.19227273362885069</v>
      </c>
      <c r="W75" s="4"/>
      <c r="X75" s="4">
        <f t="shared" ref="X75:X76" si="50">+P75-T75</f>
        <v>-186</v>
      </c>
      <c r="Y75" s="4"/>
      <c r="Z75" s="12">
        <f t="shared" ref="Z75:Z76" si="51">IF(T75=0,0,X75/T75)</f>
        <v>-1.3527272727272728E-2</v>
      </c>
    </row>
    <row r="76" spans="1:26" s="24" customFormat="1" hidden="1" outlineLevel="1" x14ac:dyDescent="0.25">
      <c r="A76" s="51"/>
      <c r="B76" s="11" t="str">
        <f>CONCATENATE("          ", "9150", " - ", "MISC. INCOME")</f>
        <v xml:space="preserve">          9150 - MISC. INCOME</v>
      </c>
      <c r="C76" s="11"/>
      <c r="D76" s="2">
        <f>--6782</f>
        <v>6782</v>
      </c>
      <c r="E76" s="2"/>
      <c r="F76" s="23">
        <f t="shared" si="44"/>
        <v>0.14270603209686336</v>
      </c>
      <c r="G76" s="2"/>
      <c r="H76" s="2">
        <v>6875</v>
      </c>
      <c r="I76" s="2"/>
      <c r="J76" s="23">
        <f t="shared" si="45"/>
        <v>0.10034591975245574</v>
      </c>
      <c r="K76" s="2"/>
      <c r="L76" s="2">
        <f t="shared" si="46"/>
        <v>-93</v>
      </c>
      <c r="M76" s="2"/>
      <c r="N76" s="23">
        <f t="shared" si="47"/>
        <v>-1.3527272727272728E-2</v>
      </c>
      <c r="O76" s="11"/>
      <c r="P76" s="2">
        <f>--13564</f>
        <v>13564</v>
      </c>
      <c r="Q76" s="2"/>
      <c r="R76" s="23">
        <f t="shared" si="48"/>
        <v>0.25899266289290446</v>
      </c>
      <c r="S76" s="2"/>
      <c r="T76" s="2">
        <v>13750</v>
      </c>
      <c r="U76" s="2"/>
      <c r="V76" s="23">
        <f t="shared" si="49"/>
        <v>0.19227273362885069</v>
      </c>
      <c r="W76" s="2"/>
      <c r="X76" s="2">
        <f t="shared" si="50"/>
        <v>-186</v>
      </c>
      <c r="Y76" s="2"/>
      <c r="Z76" s="23">
        <f t="shared" si="51"/>
        <v>-1.3527272727272728E-2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10"/>
      <c r="B78" s="26" t="s">
        <v>3</v>
      </c>
      <c r="C78" s="26"/>
      <c r="D78" s="21">
        <f>+D26-D28+D75</f>
        <v>104716.87999999998</v>
      </c>
      <c r="E78" s="13"/>
      <c r="F78" s="20">
        <f>IF(D$12=0,0,D78/D$12)</f>
        <v>2.2034400528403695</v>
      </c>
      <c r="G78" s="13"/>
      <c r="H78" s="21">
        <f>+H26-H28+H75</f>
        <v>41854.56838300766</v>
      </c>
      <c r="I78" s="13"/>
      <c r="J78" s="20">
        <f>IF(H$12=0,0,H78/H$12)</f>
        <v>0.61089965967053927</v>
      </c>
      <c r="K78" s="16"/>
      <c r="L78" s="21">
        <f>+D78-H78</f>
        <v>62862.311616992316</v>
      </c>
      <c r="M78" s="16"/>
      <c r="N78" s="20">
        <f>IF(H78=0,0,L78/H78)</f>
        <v>1.5019223479201733</v>
      </c>
      <c r="O78" s="25"/>
      <c r="P78" s="21">
        <f>+P26-P28+P75</f>
        <v>67192.800000000017</v>
      </c>
      <c r="Q78" s="13"/>
      <c r="R78" s="20">
        <f>IF(P$12=0,0,P78/P$12)</f>
        <v>1.2829874815121172</v>
      </c>
      <c r="S78" s="13"/>
      <c r="T78" s="21">
        <f>+T26-T28+T75</f>
        <v>21849.049106767256</v>
      </c>
      <c r="U78" s="13"/>
      <c r="V78" s="20">
        <f>IF(T$12=0,0,T78/T$12)</f>
        <v>0.30552555628721012</v>
      </c>
      <c r="W78" s="16"/>
      <c r="X78" s="21">
        <f>+P78-T78</f>
        <v>45343.750893232762</v>
      </c>
      <c r="Y78" s="16"/>
      <c r="Z78" s="20">
        <f>IF(T78=0,0,X78/T78)</f>
        <v>2.0753191899407901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x14ac:dyDescent="0.25">
      <c r="A80" s="52"/>
      <c r="B80" s="10" t="s">
        <v>14</v>
      </c>
      <c r="C80" s="10"/>
      <c r="D80" s="4">
        <v>6510.77</v>
      </c>
      <c r="E80" s="4"/>
      <c r="F80" s="12">
        <f>IF(D$12=0,0,D80/D$12)</f>
        <v>0.13699884290700312</v>
      </c>
      <c r="G80" s="4"/>
      <c r="H80" s="4">
        <v>10221</v>
      </c>
      <c r="I80" s="4"/>
      <c r="J80" s="12">
        <f>IF(H$12=0,0,H80/H$12)</f>
        <v>0.14918336666034182</v>
      </c>
      <c r="K80" s="4"/>
      <c r="L80" s="4">
        <f>+D80-H80</f>
        <v>-3710.2299999999996</v>
      </c>
      <c r="M80" s="4"/>
      <c r="N80" s="12">
        <f>IF(H80=0,0,L80/H80)</f>
        <v>-0.3630006848644946</v>
      </c>
      <c r="O80" s="10"/>
      <c r="P80" s="4">
        <v>8842.34</v>
      </c>
      <c r="Q80" s="4"/>
      <c r="R80" s="12">
        <f>IF(P$12=0,0,P80/P$12)</f>
        <v>0.16883671356564767</v>
      </c>
      <c r="S80" s="4"/>
      <c r="T80" s="4">
        <v>11678</v>
      </c>
      <c r="U80" s="4"/>
      <c r="V80" s="12">
        <f>IF(T$12=0,0,T80/T$12)</f>
        <v>0.16329898060492498</v>
      </c>
      <c r="W80" s="4"/>
      <c r="X80" s="4">
        <f>+P80-T80</f>
        <v>-2835.66</v>
      </c>
      <c r="Y80" s="4"/>
      <c r="Z80" s="12">
        <f>IF(T80=0,0,X80/T80)</f>
        <v>-0.24282068847405378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2" customFormat="1" ht="15.75" thickBot="1" x14ac:dyDescent="0.3">
      <c r="A82" s="10"/>
      <c r="B82" s="26" t="s">
        <v>4</v>
      </c>
      <c r="C82" s="26"/>
      <c r="D82" s="33">
        <f>+D78-D80</f>
        <v>98206.109999999971</v>
      </c>
      <c r="E82" s="13"/>
      <c r="F82" s="31">
        <f>IF(D$12=0,0,D82/D$12)</f>
        <v>2.066441209933366</v>
      </c>
      <c r="G82" s="13"/>
      <c r="H82" s="33">
        <f>+H78-H80</f>
        <v>31633.56838300766</v>
      </c>
      <c r="I82" s="13"/>
      <c r="J82" s="31">
        <f>IF(H$12=0,0,H82/H$12)</f>
        <v>0.46171629301019745</v>
      </c>
      <c r="K82" s="16"/>
      <c r="L82" s="33">
        <f>D82-H82</f>
        <v>66572.541616992312</v>
      </c>
      <c r="M82" s="16"/>
      <c r="N82" s="31">
        <f>IF(H82=0,0,L82/H82)</f>
        <v>2.1044904201434491</v>
      </c>
      <c r="O82" s="25"/>
      <c r="P82" s="33">
        <f>+P78-P80</f>
        <v>58350.460000000021</v>
      </c>
      <c r="Q82" s="13"/>
      <c r="R82" s="31">
        <f>IF(P$12=0,0,P82/P$12)</f>
        <v>1.1141507679464695</v>
      </c>
      <c r="S82" s="13"/>
      <c r="T82" s="33">
        <f>+T78-T80</f>
        <v>10171.049106767256</v>
      </c>
      <c r="U82" s="13"/>
      <c r="V82" s="31">
        <f>IF(T$12=0,0,T82/T$12)</f>
        <v>0.14222657568228511</v>
      </c>
      <c r="W82" s="16"/>
      <c r="X82" s="33">
        <f>P82-T82</f>
        <v>48179.410893232765</v>
      </c>
      <c r="Y82" s="16"/>
      <c r="Z82" s="31">
        <f>IF(T82=0,0,X82/T82)</f>
        <v>4.7369165547708194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ht="15.75" thickBot="1" x14ac:dyDescent="0.3">
      <c r="A85" s="10"/>
      <c r="B85" s="26" t="s">
        <v>5</v>
      </c>
      <c r="C85" s="26"/>
      <c r="D85" s="32">
        <f>SUM(D82:D84)</f>
        <v>98206.109999999971</v>
      </c>
      <c r="E85" s="13"/>
      <c r="F85" s="35">
        <f>IF(D$12=0,0,D85/D$12)</f>
        <v>2.066441209933366</v>
      </c>
      <c r="G85" s="13"/>
      <c r="H85" s="32">
        <f>SUM(H82:H84)</f>
        <v>31633.56838300766</v>
      </c>
      <c r="I85" s="13"/>
      <c r="J85" s="35">
        <f>IF(H$12=0,0,H85/H$12)</f>
        <v>0.46171629301019745</v>
      </c>
      <c r="K85" s="16"/>
      <c r="L85" s="32">
        <f>+D85-H85</f>
        <v>66572.541616992312</v>
      </c>
      <c r="M85" s="16"/>
      <c r="N85" s="35">
        <f>IF(H85=0,0,L85/H85)</f>
        <v>2.1044904201434491</v>
      </c>
      <c r="O85" s="25"/>
      <c r="P85" s="32">
        <f>SUM(P82:P84)</f>
        <v>58350.460000000021</v>
      </c>
      <c r="Q85" s="13"/>
      <c r="R85" s="35">
        <f>IF(P$12=0,0,P85/P$12)</f>
        <v>1.1141507679464695</v>
      </c>
      <c r="S85" s="13"/>
      <c r="T85" s="32">
        <f>SUM(T82:T84)</f>
        <v>10171.049106767256</v>
      </c>
      <c r="U85" s="13"/>
      <c r="V85" s="35">
        <f>IF(T$12=0,0,T85/T$12)</f>
        <v>0.14222657568228511</v>
      </c>
      <c r="W85" s="16"/>
      <c r="X85" s="32">
        <f>+P85-T85</f>
        <v>48179.410893232765</v>
      </c>
      <c r="Y85" s="16"/>
      <c r="Z85" s="35">
        <f>IF(T85=0,0,X85/T85)</f>
        <v>4.7369165547708194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9">
        <v>44113.689018171295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","316", " - ", "Campus Copy Center")</f>
        <v>Department 316 - Campus Copy Center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47524.27</v>
      </c>
      <c r="E12" s="4"/>
      <c r="F12" s="12"/>
      <c r="G12" s="4"/>
      <c r="H12" s="4">
        <f>SUM(OSRRefH13x_0)</f>
        <v>68513</v>
      </c>
      <c r="I12" s="4"/>
      <c r="J12" s="12"/>
      <c r="K12" s="4"/>
      <c r="L12" s="4">
        <f t="shared" ref="L12:L22" si="0">+D12-H12</f>
        <v>-20988.730000000003</v>
      </c>
      <c r="M12" s="4"/>
      <c r="N12" s="12">
        <f t="shared" ref="N12:N22" si="1">IF(H12=0,0,L12/H12)</f>
        <v>-0.30634667873250337</v>
      </c>
      <c r="O12" s="10"/>
      <c r="P12" s="4">
        <f>SUM(OSRRefP13x_0)</f>
        <v>52372.140000000007</v>
      </c>
      <c r="Q12" s="4"/>
      <c r="R12" s="12"/>
      <c r="S12" s="4"/>
      <c r="T12" s="4">
        <f>SUM(OSRRefT13x_0)</f>
        <v>71513</v>
      </c>
      <c r="U12" s="4"/>
      <c r="V12" s="12"/>
      <c r="W12" s="4"/>
      <c r="X12" s="4">
        <f t="shared" ref="X12:X22" si="2">+P12-T12</f>
        <v>-19140.859999999993</v>
      </c>
      <c r="Y12" s="4"/>
      <c r="Z12" s="12">
        <f t="shared" ref="Z12:Z22" si="3">IF(T12=0,0,X12/T12)</f>
        <v>-0.26765567099688159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-7.3</f>
        <v>-7.3</v>
      </c>
      <c r="E13" s="2"/>
      <c r="F13" s="23"/>
      <c r="G13" s="2"/>
      <c r="H13" s="2">
        <v>66513</v>
      </c>
      <c r="I13" s="2"/>
      <c r="J13" s="23"/>
      <c r="K13" s="2"/>
      <c r="L13" s="2">
        <f t="shared" si="0"/>
        <v>-66520.3</v>
      </c>
      <c r="M13" s="2"/>
      <c r="N13" s="23">
        <f t="shared" si="1"/>
        <v>-1.0001097529806204</v>
      </c>
      <c r="O13" s="11"/>
      <c r="P13" s="2">
        <f>-7.3</f>
        <v>-7.3</v>
      </c>
      <c r="Q13" s="2"/>
      <c r="R13" s="23"/>
      <c r="S13" s="2"/>
      <c r="T13" s="2">
        <v>69013</v>
      </c>
      <c r="U13" s="2"/>
      <c r="V13" s="23"/>
      <c r="W13" s="2"/>
      <c r="X13" s="2">
        <f t="shared" si="2"/>
        <v>-69020.3</v>
      </c>
      <c r="Y13" s="2"/>
      <c r="Z13" s="23">
        <f t="shared" si="3"/>
        <v>-1.0001057771724169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--42350.45</f>
        <v>42350.45</v>
      </c>
      <c r="E14" s="2"/>
      <c r="F14" s="23"/>
      <c r="G14" s="2"/>
      <c r="H14" s="2"/>
      <c r="I14" s="2"/>
      <c r="J14" s="23"/>
      <c r="K14" s="2"/>
      <c r="L14" s="2">
        <f t="shared" si="0"/>
        <v>42350.45</v>
      </c>
      <c r="M14" s="2"/>
      <c r="N14" s="23">
        <f t="shared" si="1"/>
        <v>0</v>
      </c>
      <c r="O14" s="11"/>
      <c r="P14" s="2">
        <f>--43436.05</f>
        <v>43436.05</v>
      </c>
      <c r="Q14" s="2"/>
      <c r="R14" s="23"/>
      <c r="S14" s="2"/>
      <c r="T14" s="2"/>
      <c r="U14" s="2"/>
      <c r="V14" s="23"/>
      <c r="W14" s="2"/>
      <c r="X14" s="2">
        <f t="shared" si="2"/>
        <v>43436.05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--5206.35</f>
        <v>5206.3500000000004</v>
      </c>
      <c r="E15" s="2"/>
      <c r="F15" s="23"/>
      <c r="G15" s="2"/>
      <c r="H15" s="2"/>
      <c r="I15" s="2"/>
      <c r="J15" s="23"/>
      <c r="K15" s="2"/>
      <c r="L15" s="2">
        <f t="shared" si="0"/>
        <v>5206.3500000000004</v>
      </c>
      <c r="M15" s="2"/>
      <c r="N15" s="23">
        <f t="shared" si="1"/>
        <v>0</v>
      </c>
      <c r="O15" s="11"/>
      <c r="P15" s="2">
        <f>--8956.87</f>
        <v>8956.8700000000008</v>
      </c>
      <c r="Q15" s="2"/>
      <c r="R15" s="23"/>
      <c r="S15" s="2"/>
      <c r="T15" s="2"/>
      <c r="U15" s="2"/>
      <c r="V15" s="23"/>
      <c r="W15" s="2"/>
      <c r="X15" s="2">
        <f t="shared" si="2"/>
        <v>8956.8700000000008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--4.99</f>
        <v>4.99</v>
      </c>
      <c r="E16" s="2"/>
      <c r="F16" s="23"/>
      <c r="G16" s="2"/>
      <c r="H16" s="2"/>
      <c r="I16" s="2"/>
      <c r="J16" s="23"/>
      <c r="K16" s="2"/>
      <c r="L16" s="2">
        <f t="shared" si="0"/>
        <v>4.99</v>
      </c>
      <c r="M16" s="2"/>
      <c r="N16" s="23">
        <f t="shared" si="1"/>
        <v>0</v>
      </c>
      <c r="O16" s="11"/>
      <c r="P16" s="2">
        <f>--4.99</f>
        <v>4.99</v>
      </c>
      <c r="Q16" s="2"/>
      <c r="R16" s="23"/>
      <c r="S16" s="2"/>
      <c r="T16" s="2"/>
      <c r="U16" s="2"/>
      <c r="V16" s="23"/>
      <c r="W16" s="2"/>
      <c r="X16" s="2">
        <f t="shared" si="2"/>
        <v>4.99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3"/>
      <c r="G17" s="2"/>
      <c r="H17" s="2">
        <v>2000</v>
      </c>
      <c r="I17" s="2"/>
      <c r="J17" s="23"/>
      <c r="K17" s="2"/>
      <c r="L17" s="2">
        <f t="shared" si="0"/>
        <v>-2000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2500</v>
      </c>
      <c r="U17" s="2"/>
      <c r="V17" s="23"/>
      <c r="W17" s="2"/>
      <c r="X17" s="2">
        <f t="shared" si="2"/>
        <v>-2500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--446.75</f>
        <v>446.75</v>
      </c>
      <c r="E18" s="2"/>
      <c r="F18" s="23"/>
      <c r="G18" s="2"/>
      <c r="H18" s="2"/>
      <c r="I18" s="2"/>
      <c r="J18" s="23"/>
      <c r="K18" s="2"/>
      <c r="L18" s="2">
        <f t="shared" si="0"/>
        <v>446.75</v>
      </c>
      <c r="M18" s="2"/>
      <c r="N18" s="23">
        <f t="shared" si="1"/>
        <v>0</v>
      </c>
      <c r="O18" s="11"/>
      <c r="P18" s="2">
        <f>--457.5</f>
        <v>457.5</v>
      </c>
      <c r="Q18" s="2"/>
      <c r="R18" s="23"/>
      <c r="S18" s="2"/>
      <c r="T18" s="2"/>
      <c r="U18" s="2"/>
      <c r="V18" s="23"/>
      <c r="W18" s="2"/>
      <c r="X18" s="2">
        <f t="shared" si="2"/>
        <v>457.5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--5.98</f>
        <v>5.98</v>
      </c>
      <c r="E19" s="2"/>
      <c r="F19" s="23"/>
      <c r="G19" s="2"/>
      <c r="H19" s="2"/>
      <c r="I19" s="2"/>
      <c r="J19" s="23"/>
      <c r="K19" s="2"/>
      <c r="L19" s="2">
        <f t="shared" si="0"/>
        <v>5.98</v>
      </c>
      <c r="M19" s="2"/>
      <c r="N19" s="23">
        <f t="shared" si="1"/>
        <v>0</v>
      </c>
      <c r="O19" s="11"/>
      <c r="P19" s="2">
        <f>--5.98</f>
        <v>5.98</v>
      </c>
      <c r="Q19" s="2"/>
      <c r="R19" s="23"/>
      <c r="S19" s="2"/>
      <c r="T19" s="2"/>
      <c r="U19" s="2"/>
      <c r="V19" s="23"/>
      <c r="W19" s="2"/>
      <c r="X19" s="2">
        <f t="shared" si="2"/>
        <v>5.98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--15.5</f>
        <v>15.5</v>
      </c>
      <c r="E20" s="2"/>
      <c r="F20" s="23"/>
      <c r="G20" s="2"/>
      <c r="H20" s="2"/>
      <c r="I20" s="2"/>
      <c r="J20" s="23"/>
      <c r="K20" s="2"/>
      <c r="L20" s="2">
        <f t="shared" si="0"/>
        <v>15.5</v>
      </c>
      <c r="M20" s="2"/>
      <c r="N20" s="23">
        <f t="shared" si="1"/>
        <v>0</v>
      </c>
      <c r="O20" s="11"/>
      <c r="P20" s="2">
        <f>--15.5</f>
        <v>15.5</v>
      </c>
      <c r="Q20" s="2"/>
      <c r="R20" s="23"/>
      <c r="S20" s="2"/>
      <c r="T20" s="2"/>
      <c r="U20" s="2"/>
      <c r="V20" s="23"/>
      <c r="W20" s="2"/>
      <c r="X20" s="2">
        <f t="shared" si="2"/>
        <v>15.5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--23</f>
        <v>23</v>
      </c>
      <c r="E21" s="2"/>
      <c r="F21" s="23"/>
      <c r="G21" s="2"/>
      <c r="H21" s="2"/>
      <c r="I21" s="2"/>
      <c r="J21" s="23"/>
      <c r="K21" s="2"/>
      <c r="L21" s="2">
        <f t="shared" si="0"/>
        <v>23</v>
      </c>
      <c r="M21" s="2"/>
      <c r="N21" s="23">
        <f t="shared" si="1"/>
        <v>0</v>
      </c>
      <c r="O21" s="11"/>
      <c r="P21" s="2">
        <f>--24</f>
        <v>24</v>
      </c>
      <c r="Q21" s="2"/>
      <c r="R21" s="23"/>
      <c r="S21" s="2"/>
      <c r="T21" s="2"/>
      <c r="U21" s="2"/>
      <c r="V21" s="23"/>
      <c r="W21" s="2"/>
      <c r="X21" s="2">
        <f t="shared" si="2"/>
        <v>24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-521.45</f>
        <v>-521.45000000000005</v>
      </c>
      <c r="E22" s="2"/>
      <c r="F22" s="23"/>
      <c r="G22" s="2"/>
      <c r="H22" s="2"/>
      <c r="I22" s="2"/>
      <c r="J22" s="23"/>
      <c r="K22" s="2"/>
      <c r="L22" s="2">
        <f t="shared" si="0"/>
        <v>-521.45000000000005</v>
      </c>
      <c r="M22" s="2"/>
      <c r="N22" s="23">
        <f t="shared" si="1"/>
        <v>0</v>
      </c>
      <c r="O22" s="11"/>
      <c r="P22" s="2">
        <f>-521.45</f>
        <v>-521.45000000000005</v>
      </c>
      <c r="Q22" s="2"/>
      <c r="R22" s="23"/>
      <c r="S22" s="2"/>
      <c r="T22" s="2"/>
      <c r="U22" s="2"/>
      <c r="V22" s="23"/>
      <c r="W22" s="2"/>
      <c r="X22" s="2">
        <f t="shared" si="2"/>
        <v>-521.45000000000005</v>
      </c>
      <c r="Y22" s="2"/>
      <c r="Z22" s="23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x14ac:dyDescent="0.25">
      <c r="A26" s="10"/>
      <c r="B26" s="26" t="s">
        <v>6</v>
      </c>
      <c r="C26" s="26"/>
      <c r="D26" s="21">
        <f>D12-D24</f>
        <v>47524.27</v>
      </c>
      <c r="E26" s="13"/>
      <c r="F26" s="20">
        <f>IF(D$12=0,0,D26/D$12)</f>
        <v>1</v>
      </c>
      <c r="G26" s="13"/>
      <c r="H26" s="21">
        <f>H12-H24</f>
        <v>68513</v>
      </c>
      <c r="I26" s="13"/>
      <c r="J26" s="20">
        <f>IF(H$12=0,0,H26/H$12)</f>
        <v>1</v>
      </c>
      <c r="K26" s="16"/>
      <c r="L26" s="21">
        <f>+D26-H26</f>
        <v>-20988.730000000003</v>
      </c>
      <c r="M26" s="16"/>
      <c r="N26" s="20">
        <f>IF(H26=0,0,L26/H26)</f>
        <v>-0.30634667873250337</v>
      </c>
      <c r="O26" s="25"/>
      <c r="P26" s="21">
        <f>P12-P24</f>
        <v>52372.140000000007</v>
      </c>
      <c r="Q26" s="13"/>
      <c r="R26" s="20">
        <f>IF(P$12=0,0,P26/P$12)</f>
        <v>1</v>
      </c>
      <c r="S26" s="13"/>
      <c r="T26" s="21">
        <f>T12-T24</f>
        <v>71513</v>
      </c>
      <c r="U26" s="13"/>
      <c r="V26" s="20">
        <f>IF(T$12=0,0,T26/T$12)</f>
        <v>1</v>
      </c>
      <c r="W26" s="16"/>
      <c r="X26" s="21">
        <f>+P26-T26</f>
        <v>-19140.859999999993</v>
      </c>
      <c r="Y26" s="16"/>
      <c r="Z26" s="20">
        <f>IF(T26=0,0,X26/T26)</f>
        <v>-0.26765567099688159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2" customFormat="1" x14ac:dyDescent="0.25">
      <c r="A28" s="10"/>
      <c r="B28" s="25" t="s">
        <v>9</v>
      </c>
      <c r="C28" s="10"/>
      <c r="D28" s="19">
        <f>SUM(OSRRefD22x_0)</f>
        <v>-50410.609999999986</v>
      </c>
      <c r="E28" s="19"/>
      <c r="F28" s="30">
        <f t="shared" ref="F28:F38" si="4">IF(D$12=0,0,D28/D$12)</f>
        <v>-1.0607340207435061</v>
      </c>
      <c r="G28" s="19"/>
      <c r="H28" s="19">
        <f>SUM(OSRRefH22x_0)</f>
        <v>33533.43161699234</v>
      </c>
      <c r="I28" s="19"/>
      <c r="J28" s="30">
        <f t="shared" ref="J28:J38" si="5">IF(H$12=0,0,H28/H$12)</f>
        <v>0.48944626008191644</v>
      </c>
      <c r="K28" s="4"/>
      <c r="L28" s="19">
        <f t="shared" ref="L28:L38" si="6">+D28-H28</f>
        <v>-83944.041616992326</v>
      </c>
      <c r="M28" s="4"/>
      <c r="N28" s="30">
        <f t="shared" ref="N28:N38" si="7">IF(H28=0,0,L28/H28)</f>
        <v>-2.5032941029052185</v>
      </c>
      <c r="O28" s="10"/>
      <c r="P28" s="19">
        <f>SUM(OSRRefP22x_0)</f>
        <v>-1256.6600000000039</v>
      </c>
      <c r="Q28" s="19"/>
      <c r="R28" s="30">
        <f t="shared" ref="R28:R38" si="8">IF(P$12=0,0,P28/P$12)</f>
        <v>-2.3994818619212502E-2</v>
      </c>
      <c r="S28" s="19"/>
      <c r="T28" s="19">
        <f>SUM(OSRRefT22x_0)</f>
        <v>63413.950893232744</v>
      </c>
      <c r="U28" s="19"/>
      <c r="V28" s="30">
        <f t="shared" ref="V28:V38" si="9">IF(T$12=0,0,T28/T$12)</f>
        <v>0.88674717734164066</v>
      </c>
      <c r="W28" s="4"/>
      <c r="X28" s="19">
        <f t="shared" ref="X28:X38" si="10">+P28-T28</f>
        <v>-64670.610893232748</v>
      </c>
      <c r="Y28" s="4"/>
      <c r="Z28" s="30">
        <f t="shared" ref="Z28:Z38" si="11">IF(T28=0,0,X28/T28)</f>
        <v>-1.0198167750518461</v>
      </c>
    </row>
    <row r="29" spans="1:26" s="29" customFormat="1" outlineLevel="1" collapsed="1" x14ac:dyDescent="0.25">
      <c r="A29" s="28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8903.2699999999986</v>
      </c>
      <c r="E29" s="1"/>
      <c r="F29" s="5">
        <f t="shared" si="4"/>
        <v>0.18734154149027432</v>
      </c>
      <c r="G29" s="1"/>
      <c r="H29" s="1">
        <f>SUM(OSRRefH22_0x_0)</f>
        <v>6334.9230554538444</v>
      </c>
      <c r="I29" s="1"/>
      <c r="J29" s="5">
        <f t="shared" si="5"/>
        <v>9.2463080808807732E-2</v>
      </c>
      <c r="K29" s="1"/>
      <c r="L29" s="1">
        <f t="shared" si="6"/>
        <v>2568.3469445461542</v>
      </c>
      <c r="M29" s="1"/>
      <c r="N29" s="5">
        <f t="shared" si="7"/>
        <v>0.40542669927695807</v>
      </c>
      <c r="O29" s="14"/>
      <c r="P29" s="1">
        <f>SUM(OSRRefP22_0x_0)</f>
        <v>16833.55</v>
      </c>
      <c r="Q29" s="1"/>
      <c r="R29" s="5">
        <f t="shared" si="8"/>
        <v>0.32142184757010117</v>
      </c>
      <c r="S29" s="1"/>
      <c r="T29" s="1">
        <f>SUM(OSRRefT22_0x_0)</f>
        <v>13727.556629771147</v>
      </c>
      <c r="U29" s="1"/>
      <c r="V29" s="5">
        <f t="shared" si="9"/>
        <v>0.19195889740006916</v>
      </c>
      <c r="W29" s="1"/>
      <c r="X29" s="1">
        <f t="shared" si="10"/>
        <v>3105.9933702288527</v>
      </c>
      <c r="Y29" s="1"/>
      <c r="Z29" s="5">
        <f t="shared" si="11"/>
        <v>0.22625973827657289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1290.1199999999999</v>
      </c>
      <c r="E30" s="2"/>
      <c r="F30" s="7">
        <f t="shared" si="4"/>
        <v>2.7146550594043844E-2</v>
      </c>
      <c r="G30" s="2"/>
      <c r="H30" s="6">
        <v>1005.53020137692</v>
      </c>
      <c r="I30" s="2"/>
      <c r="J30" s="7">
        <f t="shared" si="5"/>
        <v>1.467648769396932E-2</v>
      </c>
      <c r="K30" s="2"/>
      <c r="L30" s="6">
        <f t="shared" si="6"/>
        <v>284.5897986230799</v>
      </c>
      <c r="M30" s="2"/>
      <c r="N30" s="7">
        <f t="shared" si="7"/>
        <v>0.28302461550471347</v>
      </c>
      <c r="O30" s="11"/>
      <c r="P30" s="6">
        <v>2333.48</v>
      </c>
      <c r="Q30" s="2"/>
      <c r="R30" s="7">
        <f t="shared" si="8"/>
        <v>4.4555750442888141E-2</v>
      </c>
      <c r="S30" s="2"/>
      <c r="T30" s="6">
        <v>2392.1421705980697</v>
      </c>
      <c r="U30" s="2"/>
      <c r="V30" s="7">
        <f t="shared" si="9"/>
        <v>3.3450451954163157E-2</v>
      </c>
      <c r="W30" s="2"/>
      <c r="X30" s="6">
        <f t="shared" si="10"/>
        <v>-58.662170598069679</v>
      </c>
      <c r="Y30" s="2"/>
      <c r="Z30" s="7">
        <f t="shared" si="11"/>
        <v>-2.4522861274337761E-2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311.95999999999998</v>
      </c>
      <c r="E31" s="2"/>
      <c r="F31" s="7">
        <f t="shared" si="4"/>
        <v>6.5642249738922867E-3</v>
      </c>
      <c r="G31" s="2"/>
      <c r="H31" s="6">
        <v>259.54636192307703</v>
      </c>
      <c r="I31" s="2"/>
      <c r="J31" s="7">
        <f t="shared" si="5"/>
        <v>3.7882790408108975E-3</v>
      </c>
      <c r="K31" s="2"/>
      <c r="L31" s="6">
        <f t="shared" si="6"/>
        <v>52.41363807692295</v>
      </c>
      <c r="M31" s="2"/>
      <c r="N31" s="7">
        <f t="shared" si="7"/>
        <v>0.20194325857072512</v>
      </c>
      <c r="O31" s="11"/>
      <c r="P31" s="6">
        <v>605.57000000000005</v>
      </c>
      <c r="Q31" s="2"/>
      <c r="R31" s="7">
        <f t="shared" si="8"/>
        <v>1.1562827106167515E-2</v>
      </c>
      <c r="S31" s="2"/>
      <c r="T31" s="6">
        <v>594.73937682692303</v>
      </c>
      <c r="U31" s="2"/>
      <c r="V31" s="7">
        <f t="shared" si="9"/>
        <v>8.3165211475804829E-3</v>
      </c>
      <c r="W31" s="2"/>
      <c r="X31" s="6">
        <f t="shared" si="10"/>
        <v>10.830623173077015</v>
      </c>
      <c r="Y31" s="2"/>
      <c r="Z31" s="7">
        <f t="shared" si="11"/>
        <v>1.8210704713821007E-2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3321.73</v>
      </c>
      <c r="E32" s="2"/>
      <c r="F32" s="7">
        <f t="shared" si="4"/>
        <v>6.9895445001048939E-2</v>
      </c>
      <c r="G32" s="2"/>
      <c r="H32" s="6">
        <v>2645</v>
      </c>
      <c r="I32" s="2"/>
      <c r="J32" s="7">
        <f t="shared" si="5"/>
        <v>3.8605812035672059E-2</v>
      </c>
      <c r="K32" s="2"/>
      <c r="L32" s="6">
        <f t="shared" si="6"/>
        <v>676.73</v>
      </c>
      <c r="M32" s="2"/>
      <c r="N32" s="7">
        <f t="shared" si="7"/>
        <v>0.25585255198487711</v>
      </c>
      <c r="O32" s="11"/>
      <c r="P32" s="6">
        <v>6046.21</v>
      </c>
      <c r="Q32" s="2"/>
      <c r="R32" s="7">
        <f t="shared" si="8"/>
        <v>0.11544706784943291</v>
      </c>
      <c r="S32" s="2"/>
      <c r="T32" s="6">
        <v>5290</v>
      </c>
      <c r="U32" s="2"/>
      <c r="V32" s="7">
        <f t="shared" si="9"/>
        <v>7.3972564428845103E-2</v>
      </c>
      <c r="W32" s="2"/>
      <c r="X32" s="6">
        <f t="shared" si="10"/>
        <v>756.21</v>
      </c>
      <c r="Y32" s="2"/>
      <c r="Z32" s="7">
        <f t="shared" si="11"/>
        <v>0.14295085066162572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43.84</v>
      </c>
      <c r="E33" s="2"/>
      <c r="F33" s="7">
        <f t="shared" si="4"/>
        <v>9.2247603172021379E-4</v>
      </c>
      <c r="G33" s="2"/>
      <c r="H33" s="6">
        <v>39.620185999999997</v>
      </c>
      <c r="I33" s="2"/>
      <c r="J33" s="7">
        <f t="shared" si="5"/>
        <v>5.7828712799030838E-4</v>
      </c>
      <c r="K33" s="2"/>
      <c r="L33" s="6">
        <f t="shared" si="6"/>
        <v>4.2198140000000066</v>
      </c>
      <c r="M33" s="2"/>
      <c r="N33" s="7">
        <f t="shared" si="7"/>
        <v>0.1065066680908567</v>
      </c>
      <c r="O33" s="11"/>
      <c r="P33" s="6">
        <v>85.1</v>
      </c>
      <c r="Q33" s="2"/>
      <c r="R33" s="7">
        <f t="shared" si="8"/>
        <v>1.6249097325410035E-3</v>
      </c>
      <c r="S33" s="2"/>
      <c r="T33" s="6">
        <v>86.728393499999996</v>
      </c>
      <c r="U33" s="2"/>
      <c r="V33" s="7">
        <f t="shared" si="9"/>
        <v>1.2127640219260834E-3</v>
      </c>
      <c r="W33" s="2"/>
      <c r="X33" s="6">
        <f t="shared" si="10"/>
        <v>-1.6283935000000014</v>
      </c>
      <c r="Y33" s="2"/>
      <c r="Z33" s="7">
        <f t="shared" si="11"/>
        <v>-1.8775783042724082E-2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1614.45</v>
      </c>
      <c r="E34" s="2"/>
      <c r="F34" s="7">
        <f t="shared" si="4"/>
        <v>3.3971063627068865E-2</v>
      </c>
      <c r="G34" s="2"/>
      <c r="H34" s="6">
        <v>991.92684461538511</v>
      </c>
      <c r="I34" s="2"/>
      <c r="J34" s="7">
        <f t="shared" si="5"/>
        <v>1.4477936225466483E-2</v>
      </c>
      <c r="K34" s="2"/>
      <c r="L34" s="6">
        <f t="shared" si="6"/>
        <v>622.52315538461494</v>
      </c>
      <c r="M34" s="2"/>
      <c r="N34" s="7">
        <f t="shared" si="7"/>
        <v>0.62758978523864362</v>
      </c>
      <c r="O34" s="11"/>
      <c r="P34" s="6">
        <v>3680.91</v>
      </c>
      <c r="Q34" s="2"/>
      <c r="R34" s="7">
        <f t="shared" si="8"/>
        <v>7.028374246307291E-2</v>
      </c>
      <c r="S34" s="2"/>
      <c r="T34" s="6">
        <v>2231.8354003846152</v>
      </c>
      <c r="U34" s="2"/>
      <c r="V34" s="7">
        <f t="shared" si="9"/>
        <v>3.1208806795752036E-2</v>
      </c>
      <c r="W34" s="2"/>
      <c r="X34" s="6">
        <f t="shared" si="10"/>
        <v>1449.0745996153846</v>
      </c>
      <c r="Y34" s="2"/>
      <c r="Z34" s="7">
        <f t="shared" si="11"/>
        <v>0.64927485215337277</v>
      </c>
    </row>
    <row r="35" spans="1:26" s="24" customFormat="1" hidden="1" outlineLevel="2" x14ac:dyDescent="0.25">
      <c r="A35" s="27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4"/>
        <v>0</v>
      </c>
      <c r="G35" s="2"/>
      <c r="H35" s="6">
        <v>0</v>
      </c>
      <c r="I35" s="2"/>
      <c r="J35" s="7">
        <f t="shared" si="5"/>
        <v>0</v>
      </c>
      <c r="K35" s="2"/>
      <c r="L35" s="6">
        <f t="shared" si="6"/>
        <v>0</v>
      </c>
      <c r="M35" s="2"/>
      <c r="N35" s="7">
        <f t="shared" si="7"/>
        <v>0</v>
      </c>
      <c r="O35" s="11"/>
      <c r="P35" s="6"/>
      <c r="Q35" s="2"/>
      <c r="R35" s="7">
        <f t="shared" si="8"/>
        <v>0</v>
      </c>
      <c r="S35" s="2"/>
      <c r="T35" s="6">
        <v>0</v>
      </c>
      <c r="U35" s="2"/>
      <c r="V35" s="7">
        <f t="shared" si="9"/>
        <v>0</v>
      </c>
      <c r="W35" s="2"/>
      <c r="X35" s="6">
        <f t="shared" si="10"/>
        <v>0</v>
      </c>
      <c r="Y35" s="2"/>
      <c r="Z35" s="7">
        <f t="shared" si="11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4"/>
        <v>2.5589030615304559E-2</v>
      </c>
      <c r="G36" s="2"/>
      <c r="H36" s="6">
        <v>956.61308461538511</v>
      </c>
      <c r="I36" s="2"/>
      <c r="J36" s="7">
        <f t="shared" si="5"/>
        <v>1.3962504701522122E-2</v>
      </c>
      <c r="K36" s="2"/>
      <c r="L36" s="6">
        <f t="shared" si="6"/>
        <v>259.4869153846148</v>
      </c>
      <c r="M36" s="2"/>
      <c r="N36" s="7">
        <f t="shared" si="7"/>
        <v>0.27125587090306613</v>
      </c>
      <c r="O36" s="11"/>
      <c r="P36" s="6">
        <v>2194.98</v>
      </c>
      <c r="Q36" s="2"/>
      <c r="R36" s="7">
        <f t="shared" si="8"/>
        <v>4.1911214626708014E-2</v>
      </c>
      <c r="S36" s="2"/>
      <c r="T36" s="6">
        <v>2152.379440384615</v>
      </c>
      <c r="U36" s="2"/>
      <c r="V36" s="7">
        <f t="shared" si="9"/>
        <v>3.0097736640675332E-2</v>
      </c>
      <c r="W36" s="2"/>
      <c r="X36" s="6">
        <f t="shared" si="10"/>
        <v>42.600559615385009</v>
      </c>
      <c r="Y36" s="2"/>
      <c r="Z36" s="7">
        <f t="shared" si="11"/>
        <v>1.9792309300154153E-2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4"/>
        <v>1.5539428590907341E-2</v>
      </c>
      <c r="G37" s="2"/>
      <c r="H37" s="6">
        <v>436.68637692307703</v>
      </c>
      <c r="I37" s="2"/>
      <c r="J37" s="7">
        <f t="shared" si="5"/>
        <v>6.3737739833765418E-3</v>
      </c>
      <c r="K37" s="2"/>
      <c r="L37" s="6">
        <f t="shared" si="6"/>
        <v>301.81362307692297</v>
      </c>
      <c r="M37" s="2"/>
      <c r="N37" s="7">
        <f t="shared" si="7"/>
        <v>0.69114503915492631</v>
      </c>
      <c r="O37" s="11"/>
      <c r="P37" s="6">
        <v>1371.02</v>
      </c>
      <c r="Q37" s="2"/>
      <c r="R37" s="7">
        <f t="shared" si="8"/>
        <v>2.6178422344399137E-2</v>
      </c>
      <c r="S37" s="2"/>
      <c r="T37" s="6">
        <v>979.73184807692292</v>
      </c>
      <c r="U37" s="2"/>
      <c r="V37" s="7">
        <f t="shared" si="9"/>
        <v>1.3700052411126968E-2</v>
      </c>
      <c r="W37" s="2"/>
      <c r="X37" s="6">
        <f t="shared" si="10"/>
        <v>391.28815192307707</v>
      </c>
      <c r="Y37" s="2"/>
      <c r="Z37" s="7">
        <f t="shared" si="11"/>
        <v>0.39938290532365683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366.57</v>
      </c>
      <c r="E38" s="2"/>
      <c r="F38" s="7">
        <f t="shared" si="4"/>
        <v>7.7133220562882925E-3</v>
      </c>
      <c r="G38" s="2"/>
      <c r="H38" s="6"/>
      <c r="I38" s="2"/>
      <c r="J38" s="7">
        <f t="shared" si="5"/>
        <v>0</v>
      </c>
      <c r="K38" s="2"/>
      <c r="L38" s="6">
        <f t="shared" si="6"/>
        <v>366.57</v>
      </c>
      <c r="M38" s="2"/>
      <c r="N38" s="7">
        <f t="shared" si="7"/>
        <v>0</v>
      </c>
      <c r="O38" s="11"/>
      <c r="P38" s="6">
        <v>516.28</v>
      </c>
      <c r="Q38" s="2"/>
      <c r="R38" s="7">
        <f t="shared" si="8"/>
        <v>9.857913004891531E-3</v>
      </c>
      <c r="S38" s="2"/>
      <c r="T38" s="6"/>
      <c r="U38" s="2"/>
      <c r="V38" s="7">
        <f t="shared" si="9"/>
        <v>0</v>
      </c>
      <c r="W38" s="2"/>
      <c r="X38" s="6">
        <f t="shared" si="10"/>
        <v>516.28</v>
      </c>
      <c r="Y38" s="2"/>
      <c r="Z38" s="7">
        <f t="shared" si="11"/>
        <v>0</v>
      </c>
    </row>
    <row r="39" spans="1:26" s="29" customFormat="1" outlineLevel="1" collapsed="1" x14ac:dyDescent="0.25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13505.78</v>
      </c>
      <c r="E39" s="1"/>
      <c r="F39" s="5">
        <f t="shared" ref="F39:F49" si="12">IF(D$12=0,0,D39/D$12)</f>
        <v>0.28418700592349977</v>
      </c>
      <c r="G39" s="1"/>
      <c r="H39" s="1">
        <f>SUM(OSRRefH22_1x_0)</f>
        <v>10197.5085615385</v>
      </c>
      <c r="I39" s="1"/>
      <c r="J39" s="5">
        <f t="shared" ref="J39:J49" si="13">IF(H$12=0,0,H39/H$12)</f>
        <v>0.1488404910241633</v>
      </c>
      <c r="K39" s="1"/>
      <c r="L39" s="1">
        <f t="shared" ref="L39:L49" si="14">+D39-H39</f>
        <v>3308.271438461501</v>
      </c>
      <c r="M39" s="1"/>
      <c r="N39" s="5">
        <f t="shared" ref="N39:N49" si="15">IF(H39=0,0,L39/H39)</f>
        <v>0.3244195793999296</v>
      </c>
      <c r="O39" s="14"/>
      <c r="P39" s="1">
        <f>SUM(OSRRefP22_1x_0)</f>
        <v>28565.72</v>
      </c>
      <c r="Q39" s="1"/>
      <c r="R39" s="5">
        <f t="shared" ref="R39:R49" si="16">IF(P$12=0,0,P39/P$12)</f>
        <v>0.54543732602868622</v>
      </c>
      <c r="S39" s="1"/>
      <c r="T39" s="1">
        <f>SUM(OSRRefT22_1x_0)</f>
        <v>22944.3942634616</v>
      </c>
      <c r="U39" s="1"/>
      <c r="V39" s="5">
        <f t="shared" ref="V39:V49" si="17">IF(T$12=0,0,T39/T$12)</f>
        <v>0.32084228410864596</v>
      </c>
      <c r="W39" s="1"/>
      <c r="X39" s="1">
        <f t="shared" ref="X39:X49" si="18">+P39-T39</f>
        <v>5621.3257365384015</v>
      </c>
      <c r="Y39" s="1"/>
      <c r="Z39" s="5">
        <f t="shared" ref="Z39:Z49" si="19">IF(T39=0,0,X39/T39)</f>
        <v>0.24499778342330128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12050.26</v>
      </c>
      <c r="E41" s="2"/>
      <c r="F41" s="7">
        <f t="shared" si="12"/>
        <v>0.25356012833021951</v>
      </c>
      <c r="G41" s="2"/>
      <c r="H41" s="6">
        <v>10197.5085615385</v>
      </c>
      <c r="I41" s="2"/>
      <c r="J41" s="7">
        <f t="shared" si="13"/>
        <v>0.1488404910241633</v>
      </c>
      <c r="K41" s="2"/>
      <c r="L41" s="6">
        <f t="shared" si="14"/>
        <v>1852.7514384615006</v>
      </c>
      <c r="M41" s="2"/>
      <c r="N41" s="7">
        <f t="shared" si="15"/>
        <v>0.18168667643481495</v>
      </c>
      <c r="O41" s="11"/>
      <c r="P41" s="6">
        <v>27110.2</v>
      </c>
      <c r="Q41" s="2"/>
      <c r="R41" s="7">
        <f t="shared" si="16"/>
        <v>0.51764545042459598</v>
      </c>
      <c r="S41" s="2"/>
      <c r="T41" s="6">
        <v>22944.3942634616</v>
      </c>
      <c r="U41" s="2"/>
      <c r="V41" s="7">
        <f t="shared" si="17"/>
        <v>0.32084228410864596</v>
      </c>
      <c r="W41" s="2"/>
      <c r="X41" s="6">
        <f t="shared" si="18"/>
        <v>4165.8057365384011</v>
      </c>
      <c r="Y41" s="2"/>
      <c r="Z41" s="7">
        <f t="shared" si="19"/>
        <v>0.18156093766102804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2"/>
        <v>0</v>
      </c>
      <c r="G43" s="2"/>
      <c r="H43" s="6">
        <v>0</v>
      </c>
      <c r="I43" s="2"/>
      <c r="J43" s="7">
        <f t="shared" si="13"/>
        <v>0</v>
      </c>
      <c r="K43" s="2"/>
      <c r="L43" s="6">
        <f t="shared" si="14"/>
        <v>0</v>
      </c>
      <c r="M43" s="2"/>
      <c r="N43" s="7">
        <f t="shared" si="15"/>
        <v>0</v>
      </c>
      <c r="O43" s="11"/>
      <c r="P43" s="6"/>
      <c r="Q43" s="2"/>
      <c r="R43" s="7">
        <f t="shared" si="16"/>
        <v>0</v>
      </c>
      <c r="S43" s="2"/>
      <c r="T43" s="6">
        <v>0</v>
      </c>
      <c r="U43" s="2"/>
      <c r="V43" s="7">
        <f t="shared" si="17"/>
        <v>0</v>
      </c>
      <c r="W43" s="2"/>
      <c r="X43" s="6">
        <f t="shared" si="18"/>
        <v>0</v>
      </c>
      <c r="Y43" s="2"/>
      <c r="Z43" s="7">
        <f t="shared" si="19"/>
        <v>0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383.25</v>
      </c>
      <c r="E44" s="2"/>
      <c r="F44" s="7">
        <f t="shared" si="12"/>
        <v>8.0643006194519151E-3</v>
      </c>
      <c r="G44" s="2"/>
      <c r="H44" s="6">
        <v>0</v>
      </c>
      <c r="I44" s="2"/>
      <c r="J44" s="7">
        <f t="shared" si="13"/>
        <v>0</v>
      </c>
      <c r="K44" s="2"/>
      <c r="L44" s="6">
        <f t="shared" si="14"/>
        <v>383.25</v>
      </c>
      <c r="M44" s="2"/>
      <c r="N44" s="7">
        <f t="shared" si="15"/>
        <v>0</v>
      </c>
      <c r="O44" s="11"/>
      <c r="P44" s="6">
        <v>383.25</v>
      </c>
      <c r="Q44" s="2"/>
      <c r="R44" s="7">
        <f t="shared" si="16"/>
        <v>7.3178220328594546E-3</v>
      </c>
      <c r="S44" s="2"/>
      <c r="T44" s="6">
        <v>0</v>
      </c>
      <c r="U44" s="2"/>
      <c r="V44" s="7">
        <f t="shared" si="17"/>
        <v>0</v>
      </c>
      <c r="W44" s="2"/>
      <c r="X44" s="6">
        <f t="shared" si="18"/>
        <v>383.25</v>
      </c>
      <c r="Y44" s="2"/>
      <c r="Z44" s="7">
        <f t="shared" si="19"/>
        <v>0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2"/>
        <v>0</v>
      </c>
      <c r="G45" s="2"/>
      <c r="H45" s="6">
        <v>0</v>
      </c>
      <c r="I45" s="2"/>
      <c r="J45" s="7">
        <f t="shared" si="13"/>
        <v>0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/>
      <c r="Q45" s="2"/>
      <c r="R45" s="7">
        <f t="shared" si="16"/>
        <v>0</v>
      </c>
      <c r="S45" s="2"/>
      <c r="T45" s="6">
        <v>0</v>
      </c>
      <c r="U45" s="2"/>
      <c r="V45" s="7">
        <f t="shared" si="17"/>
        <v>0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1072.27</v>
      </c>
      <c r="E46" s="2"/>
      <c r="F46" s="7">
        <f t="shared" si="12"/>
        <v>2.2562576973828321E-2</v>
      </c>
      <c r="G46" s="2"/>
      <c r="H46" s="6">
        <v>0</v>
      </c>
      <c r="I46" s="2"/>
      <c r="J46" s="7">
        <f t="shared" si="13"/>
        <v>0</v>
      </c>
      <c r="K46" s="2"/>
      <c r="L46" s="6">
        <f t="shared" si="14"/>
        <v>1072.27</v>
      </c>
      <c r="M46" s="2"/>
      <c r="N46" s="7">
        <f t="shared" si="15"/>
        <v>0</v>
      </c>
      <c r="O46" s="11"/>
      <c r="P46" s="6">
        <v>1072.27</v>
      </c>
      <c r="Q46" s="2"/>
      <c r="R46" s="7">
        <f t="shared" si="16"/>
        <v>2.0474053571230808E-2</v>
      </c>
      <c r="S46" s="2"/>
      <c r="T46" s="6">
        <v>0</v>
      </c>
      <c r="U46" s="2"/>
      <c r="V46" s="7">
        <f t="shared" si="17"/>
        <v>0</v>
      </c>
      <c r="W46" s="2"/>
      <c r="X46" s="6">
        <f t="shared" si="18"/>
        <v>1072.27</v>
      </c>
      <c r="Y46" s="2"/>
      <c r="Z46" s="7">
        <f t="shared" si="19"/>
        <v>0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2"/>
        <v>0</v>
      </c>
      <c r="G47" s="2"/>
      <c r="H47" s="6">
        <v>0</v>
      </c>
      <c r="I47" s="2"/>
      <c r="J47" s="7">
        <f t="shared" si="13"/>
        <v>0</v>
      </c>
      <c r="K47" s="2"/>
      <c r="L47" s="6">
        <f t="shared" si="14"/>
        <v>0</v>
      </c>
      <c r="M47" s="2"/>
      <c r="N47" s="7">
        <f t="shared" si="15"/>
        <v>0</v>
      </c>
      <c r="O47" s="11"/>
      <c r="P47" s="6"/>
      <c r="Q47" s="2"/>
      <c r="R47" s="7">
        <f t="shared" si="16"/>
        <v>0</v>
      </c>
      <c r="S47" s="2"/>
      <c r="T47" s="6">
        <v>0</v>
      </c>
      <c r="U47" s="2"/>
      <c r="V47" s="7">
        <f t="shared" si="17"/>
        <v>0</v>
      </c>
      <c r="W47" s="2"/>
      <c r="X47" s="6">
        <f t="shared" si="18"/>
        <v>0</v>
      </c>
      <c r="Y47" s="2"/>
      <c r="Z47" s="7">
        <f t="shared" si="19"/>
        <v>0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2"/>
        <v>0</v>
      </c>
      <c r="G48" s="2"/>
      <c r="H48" s="6">
        <v>0</v>
      </c>
      <c r="I48" s="2"/>
      <c r="J48" s="7">
        <f t="shared" si="13"/>
        <v>0</v>
      </c>
      <c r="K48" s="2"/>
      <c r="L48" s="6">
        <f t="shared" si="14"/>
        <v>0</v>
      </c>
      <c r="M48" s="2"/>
      <c r="N48" s="7">
        <f t="shared" si="15"/>
        <v>0</v>
      </c>
      <c r="O48" s="11"/>
      <c r="P48" s="6"/>
      <c r="Q48" s="2"/>
      <c r="R48" s="7">
        <f t="shared" si="16"/>
        <v>0</v>
      </c>
      <c r="S48" s="2"/>
      <c r="T48" s="6">
        <v>0</v>
      </c>
      <c r="U48" s="2"/>
      <c r="V48" s="7">
        <f t="shared" si="17"/>
        <v>0</v>
      </c>
      <c r="W48" s="2"/>
      <c r="X48" s="6">
        <f t="shared" si="18"/>
        <v>0</v>
      </c>
      <c r="Y48" s="2"/>
      <c r="Z48" s="7">
        <f t="shared" si="19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2"/>
        <v>0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0</v>
      </c>
      <c r="M49" s="2"/>
      <c r="N49" s="7">
        <f t="shared" si="15"/>
        <v>0</v>
      </c>
      <c r="O49" s="11"/>
      <c r="P49" s="6"/>
      <c r="Q49" s="2"/>
      <c r="R49" s="7">
        <f t="shared" si="16"/>
        <v>0</v>
      </c>
      <c r="S49" s="2"/>
      <c r="T49" s="6">
        <v>0</v>
      </c>
      <c r="U49" s="2"/>
      <c r="V49" s="7">
        <f t="shared" si="17"/>
        <v>0</v>
      </c>
      <c r="W49" s="2"/>
      <c r="X49" s="6">
        <f t="shared" si="18"/>
        <v>0</v>
      </c>
      <c r="Y49" s="2"/>
      <c r="Z49" s="7">
        <f t="shared" si="19"/>
        <v>0</v>
      </c>
    </row>
    <row r="50" spans="1:26" s="29" customFormat="1" outlineLevel="1" collapsed="1" x14ac:dyDescent="0.25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0">IF(D$12=0,0,D50/D$12)</f>
        <v>0</v>
      </c>
      <c r="G50" s="1"/>
      <c r="H50" s="1">
        <f>SUM(OSRRefH22_2x_0)</f>
        <v>50</v>
      </c>
      <c r="I50" s="1"/>
      <c r="J50" s="5">
        <f t="shared" ref="J50:J60" si="21">IF(H$12=0,0,H50/H$12)</f>
        <v>7.2978850729058724E-4</v>
      </c>
      <c r="K50" s="1"/>
      <c r="L50" s="1">
        <f t="shared" ref="L50:L60" si="22">+D50-H50</f>
        <v>-50</v>
      </c>
      <c r="M50" s="1"/>
      <c r="N50" s="5">
        <f t="shared" ref="N50:N60" si="23">IF(H50=0,0,L50/H50)</f>
        <v>-1</v>
      </c>
      <c r="O50" s="14"/>
      <c r="P50" s="1">
        <f>SUM(OSRRefP22_2x_0)</f>
        <v>0</v>
      </c>
      <c r="Q50" s="1"/>
      <c r="R50" s="5">
        <f t="shared" ref="R50:R60" si="24">IF(P$12=0,0,P50/P$12)</f>
        <v>0</v>
      </c>
      <c r="S50" s="1"/>
      <c r="T50" s="1">
        <f>SUM(OSRRefT22_2x_0)</f>
        <v>100</v>
      </c>
      <c r="U50" s="1"/>
      <c r="V50" s="5">
        <f t="shared" ref="V50:V60" si="25">IF(T$12=0,0,T50/T$12)</f>
        <v>1.3983471536643686E-3</v>
      </c>
      <c r="W50" s="1"/>
      <c r="X50" s="1">
        <f t="shared" ref="X50:X60" si="26">+P50-T50</f>
        <v>-100</v>
      </c>
      <c r="Y50" s="1"/>
      <c r="Z50" s="5">
        <f t="shared" ref="Z50:Z60" si="27">IF(T50=0,0,X50/T50)</f>
        <v>-1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0"/>
        <v>0</v>
      </c>
      <c r="G51" s="2"/>
      <c r="H51" s="6">
        <v>50</v>
      </c>
      <c r="I51" s="2"/>
      <c r="J51" s="7">
        <f t="shared" si="21"/>
        <v>7.2978850729058724E-4</v>
      </c>
      <c r="K51" s="2"/>
      <c r="L51" s="6">
        <f t="shared" si="22"/>
        <v>-50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1.3983471536643686E-3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9" customFormat="1" outlineLevel="1" collapsed="1" x14ac:dyDescent="0.25">
      <c r="A52" s="28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0"/>
        <v>3.5745946229158282E-3</v>
      </c>
      <c r="G52" s="1"/>
      <c r="H52" s="1">
        <f>SUM(OSRRefH22_3x_0)</f>
        <v>170</v>
      </c>
      <c r="I52" s="1"/>
      <c r="J52" s="5">
        <f t="shared" si="21"/>
        <v>2.4812809247879964E-3</v>
      </c>
      <c r="K52" s="1"/>
      <c r="L52" s="1">
        <f t="shared" si="22"/>
        <v>-0.12000000000000455</v>
      </c>
      <c r="M52" s="1"/>
      <c r="N52" s="5">
        <f t="shared" si="23"/>
        <v>-7.0588235294120319E-4</v>
      </c>
      <c r="O52" s="14"/>
      <c r="P52" s="1">
        <f>SUM(OSRRefP22_3x_0)</f>
        <v>339.76</v>
      </c>
      <c r="Q52" s="1"/>
      <c r="R52" s="5">
        <f t="shared" si="24"/>
        <v>6.4874186924574776E-3</v>
      </c>
      <c r="S52" s="1"/>
      <c r="T52" s="1">
        <f>SUM(OSRRefT22_3x_0)</f>
        <v>340</v>
      </c>
      <c r="U52" s="1"/>
      <c r="V52" s="5">
        <f t="shared" si="25"/>
        <v>4.7543803224588538E-3</v>
      </c>
      <c r="W52" s="1"/>
      <c r="X52" s="1">
        <f t="shared" si="26"/>
        <v>-0.24000000000000909</v>
      </c>
      <c r="Y52" s="1"/>
      <c r="Z52" s="5">
        <f t="shared" si="27"/>
        <v>-7.0588235294120319E-4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0"/>
        <v>3.5745946229158282E-3</v>
      </c>
      <c r="G53" s="2"/>
      <c r="H53" s="6">
        <v>170</v>
      </c>
      <c r="I53" s="2"/>
      <c r="J53" s="7">
        <f t="shared" si="21"/>
        <v>2.4812809247879964E-3</v>
      </c>
      <c r="K53" s="2"/>
      <c r="L53" s="6">
        <f t="shared" si="22"/>
        <v>-0.12000000000000455</v>
      </c>
      <c r="M53" s="2"/>
      <c r="N53" s="7">
        <f t="shared" si="23"/>
        <v>-7.0588235294120319E-4</v>
      </c>
      <c r="O53" s="11"/>
      <c r="P53" s="6">
        <v>339.76</v>
      </c>
      <c r="Q53" s="2"/>
      <c r="R53" s="7">
        <f t="shared" si="24"/>
        <v>6.4874186924574776E-3</v>
      </c>
      <c r="S53" s="2"/>
      <c r="T53" s="6">
        <v>340</v>
      </c>
      <c r="U53" s="2"/>
      <c r="V53" s="7">
        <f t="shared" si="25"/>
        <v>4.7543803224588538E-3</v>
      </c>
      <c r="W53" s="2"/>
      <c r="X53" s="6">
        <f t="shared" si="26"/>
        <v>-0.24000000000000909</v>
      </c>
      <c r="Y53" s="2"/>
      <c r="Z53" s="7">
        <f t="shared" si="27"/>
        <v>-7.0588235294120319E-4</v>
      </c>
    </row>
    <row r="54" spans="1:26" s="29" customFormat="1" outlineLevel="1" collapsed="1" x14ac:dyDescent="0.25">
      <c r="A54" s="28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0"/>
        <v>0</v>
      </c>
      <c r="G54" s="1"/>
      <c r="H54" s="1">
        <f>SUM(OSRRefH22_4x_0)</f>
        <v>50</v>
      </c>
      <c r="I54" s="1"/>
      <c r="J54" s="5">
        <f t="shared" si="21"/>
        <v>7.2978850729058724E-4</v>
      </c>
      <c r="K54" s="1"/>
      <c r="L54" s="1">
        <f t="shared" si="22"/>
        <v>-50</v>
      </c>
      <c r="M54" s="1"/>
      <c r="N54" s="5">
        <f t="shared" si="23"/>
        <v>-1</v>
      </c>
      <c r="O54" s="14"/>
      <c r="P54" s="1">
        <f>SUM(OSRRefP22_4x_0)</f>
        <v>0</v>
      </c>
      <c r="Q54" s="1"/>
      <c r="R54" s="5">
        <f t="shared" si="24"/>
        <v>0</v>
      </c>
      <c r="S54" s="1"/>
      <c r="T54" s="1">
        <f>SUM(OSRRefT22_4x_0)</f>
        <v>100</v>
      </c>
      <c r="U54" s="1"/>
      <c r="V54" s="5">
        <f t="shared" si="25"/>
        <v>1.3983471536643686E-3</v>
      </c>
      <c r="W54" s="1"/>
      <c r="X54" s="1">
        <f t="shared" si="26"/>
        <v>-100</v>
      </c>
      <c r="Y54" s="1"/>
      <c r="Z54" s="5">
        <f t="shared" si="27"/>
        <v>-1</v>
      </c>
    </row>
    <row r="55" spans="1:26" s="24" customFormat="1" hidden="1" outlineLevel="2" x14ac:dyDescent="0.25">
      <c r="A55" s="27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0"/>
        <v>0</v>
      </c>
      <c r="G55" s="2"/>
      <c r="H55" s="6">
        <v>50</v>
      </c>
      <c r="I55" s="2"/>
      <c r="J55" s="7">
        <f t="shared" si="21"/>
        <v>7.2978850729058724E-4</v>
      </c>
      <c r="K55" s="2"/>
      <c r="L55" s="6">
        <f t="shared" si="22"/>
        <v>-50</v>
      </c>
      <c r="M55" s="2"/>
      <c r="N55" s="7">
        <f t="shared" si="23"/>
        <v>-1</v>
      </c>
      <c r="O55" s="11"/>
      <c r="P55" s="6"/>
      <c r="Q55" s="2"/>
      <c r="R55" s="7">
        <f t="shared" si="24"/>
        <v>0</v>
      </c>
      <c r="S55" s="2"/>
      <c r="T55" s="6">
        <v>100</v>
      </c>
      <c r="U55" s="2"/>
      <c r="V55" s="7">
        <f t="shared" si="25"/>
        <v>1.3983471536643686E-3</v>
      </c>
      <c r="W55" s="2"/>
      <c r="X55" s="6">
        <f t="shared" si="26"/>
        <v>-100</v>
      </c>
      <c r="Y55" s="2"/>
      <c r="Z55" s="7">
        <f t="shared" si="27"/>
        <v>-1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0"/>
        <v>2.5368932547517303E-2</v>
      </c>
      <c r="G56" s="1"/>
      <c r="H56" s="1">
        <f>SUM(OSRRefH22_5x_0)</f>
        <v>1206</v>
      </c>
      <c r="I56" s="1"/>
      <c r="J56" s="5">
        <f t="shared" si="21"/>
        <v>1.7602498795848964E-2</v>
      </c>
      <c r="K56" s="1"/>
      <c r="L56" s="1">
        <f t="shared" si="22"/>
        <v>-0.35999999999989996</v>
      </c>
      <c r="M56" s="1"/>
      <c r="N56" s="5">
        <f t="shared" si="23"/>
        <v>-2.9850746268648423E-4</v>
      </c>
      <c r="O56" s="14"/>
      <c r="P56" s="1">
        <f>SUM(OSRRefP22_5x_0)</f>
        <v>2411.2800000000002</v>
      </c>
      <c r="Q56" s="1"/>
      <c r="R56" s="5">
        <f t="shared" si="24"/>
        <v>4.6041273089088966E-2</v>
      </c>
      <c r="S56" s="1"/>
      <c r="T56" s="1">
        <f>SUM(OSRRefT22_5x_0)</f>
        <v>2412</v>
      </c>
      <c r="U56" s="1"/>
      <c r="V56" s="5">
        <f t="shared" si="25"/>
        <v>3.3728133346384574E-2</v>
      </c>
      <c r="W56" s="1"/>
      <c r="X56" s="1">
        <f t="shared" si="26"/>
        <v>-0.71999999999979991</v>
      </c>
      <c r="Y56" s="1"/>
      <c r="Z56" s="5">
        <f t="shared" si="27"/>
        <v>-2.9850746268648423E-4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0"/>
        <v>2.5368932547517303E-2</v>
      </c>
      <c r="G57" s="2"/>
      <c r="H57" s="6">
        <v>1206</v>
      </c>
      <c r="I57" s="2"/>
      <c r="J57" s="7">
        <f t="shared" si="21"/>
        <v>1.7602498795848964E-2</v>
      </c>
      <c r="K57" s="2"/>
      <c r="L57" s="6">
        <f t="shared" si="22"/>
        <v>-0.35999999999989996</v>
      </c>
      <c r="M57" s="2"/>
      <c r="N57" s="7">
        <f t="shared" si="23"/>
        <v>-2.9850746268648423E-4</v>
      </c>
      <c r="O57" s="11"/>
      <c r="P57" s="6">
        <v>2411.2800000000002</v>
      </c>
      <c r="Q57" s="2"/>
      <c r="R57" s="7">
        <f t="shared" si="24"/>
        <v>4.6041273089088966E-2</v>
      </c>
      <c r="S57" s="2"/>
      <c r="T57" s="6">
        <v>2412</v>
      </c>
      <c r="U57" s="2"/>
      <c r="V57" s="7">
        <f t="shared" si="25"/>
        <v>3.3728133346384574E-2</v>
      </c>
      <c r="W57" s="2"/>
      <c r="X57" s="6">
        <f t="shared" si="26"/>
        <v>-0.71999999999979991</v>
      </c>
      <c r="Y57" s="2"/>
      <c r="Z57" s="7">
        <f t="shared" si="27"/>
        <v>-2.9850746268648423E-4</v>
      </c>
    </row>
    <row r="58" spans="1:26" s="29" customFormat="1" outlineLevel="1" collapsed="1" x14ac:dyDescent="0.25">
      <c r="A58" s="28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-84423.84</v>
      </c>
      <c r="E58" s="1"/>
      <c r="F58" s="5">
        <f t="shared" si="20"/>
        <v>-1.7764363345297045</v>
      </c>
      <c r="G58" s="1"/>
      <c r="H58" s="1">
        <f>SUM(OSRRefH22_6x_0)</f>
        <v>10060</v>
      </c>
      <c r="I58" s="1"/>
      <c r="J58" s="5">
        <f t="shared" si="21"/>
        <v>0.14683344766686615</v>
      </c>
      <c r="K58" s="1"/>
      <c r="L58" s="1">
        <f t="shared" si="22"/>
        <v>-94483.839999999997</v>
      </c>
      <c r="M58" s="1"/>
      <c r="N58" s="5">
        <f t="shared" si="23"/>
        <v>-9.3920318091451289</v>
      </c>
      <c r="O58" s="14"/>
      <c r="P58" s="1">
        <f>SUM(OSRRefP22_6x_0)</f>
        <v>-75679.08</v>
      </c>
      <c r="Q58" s="1"/>
      <c r="R58" s="5">
        <f t="shared" si="24"/>
        <v>-1.4450255422062186</v>
      </c>
      <c r="S58" s="1"/>
      <c r="T58" s="1">
        <f>SUM(OSRRefT22_6x_0)</f>
        <v>14560</v>
      </c>
      <c r="U58" s="1"/>
      <c r="V58" s="5">
        <f t="shared" si="25"/>
        <v>0.2035993455735321</v>
      </c>
      <c r="W58" s="1"/>
      <c r="X58" s="1">
        <f t="shared" si="26"/>
        <v>-90239.08</v>
      </c>
      <c r="Y58" s="1"/>
      <c r="Z58" s="5">
        <f t="shared" si="27"/>
        <v>-6.1977390109890109</v>
      </c>
    </row>
    <row r="59" spans="1:26" s="24" customFormat="1" hidden="1" outlineLevel="2" x14ac:dyDescent="0.25">
      <c r="A59" s="27"/>
      <c r="B59" s="11" t="str">
        <f>CONCATENATE("          ", "6305", " - ", "FREIGHT OUT")</f>
        <v xml:space="preserve">          6305 - FREIGHT OUT</v>
      </c>
      <c r="C59" s="11"/>
      <c r="D59" s="6">
        <v>7873.15</v>
      </c>
      <c r="E59" s="2"/>
      <c r="F59" s="7">
        <f t="shared" si="20"/>
        <v>0.16566587977048358</v>
      </c>
      <c r="G59" s="2"/>
      <c r="H59" s="6">
        <v>2560</v>
      </c>
      <c r="I59" s="2"/>
      <c r="J59" s="7">
        <f t="shared" si="21"/>
        <v>3.7365171573278066E-2</v>
      </c>
      <c r="K59" s="2"/>
      <c r="L59" s="6">
        <f t="shared" si="22"/>
        <v>5313.15</v>
      </c>
      <c r="M59" s="2"/>
      <c r="N59" s="7">
        <f t="shared" si="23"/>
        <v>2.0754492187499998</v>
      </c>
      <c r="O59" s="11"/>
      <c r="P59" s="6">
        <v>19778.350000000002</v>
      </c>
      <c r="Q59" s="2"/>
      <c r="R59" s="7">
        <f t="shared" si="24"/>
        <v>0.3776502163173015</v>
      </c>
      <c r="S59" s="2"/>
      <c r="T59" s="6">
        <v>3560</v>
      </c>
      <c r="U59" s="2"/>
      <c r="V59" s="7">
        <f t="shared" si="25"/>
        <v>4.9781158670451527E-2</v>
      </c>
      <c r="W59" s="2"/>
      <c r="X59" s="6">
        <f t="shared" si="26"/>
        <v>16218.350000000002</v>
      </c>
      <c r="Y59" s="2"/>
      <c r="Z59" s="7">
        <f t="shared" si="27"/>
        <v>4.5557162921348322</v>
      </c>
    </row>
    <row r="60" spans="1:26" s="24" customFormat="1" hidden="1" outlineLevel="2" x14ac:dyDescent="0.25">
      <c r="A60" s="27"/>
      <c r="B60" s="11" t="str">
        <f>CONCATENATE("          ", "6307", " - ", "POSTAGE")</f>
        <v xml:space="preserve">          6307 - POSTAGE</v>
      </c>
      <c r="C60" s="11"/>
      <c r="D60" s="6">
        <v>-92296.989999999991</v>
      </c>
      <c r="E60" s="2"/>
      <c r="F60" s="7">
        <f t="shared" si="20"/>
        <v>-1.942102214300188</v>
      </c>
      <c r="G60" s="2"/>
      <c r="H60" s="6">
        <v>7500</v>
      </c>
      <c r="I60" s="2"/>
      <c r="J60" s="7">
        <f t="shared" si="21"/>
        <v>0.10946827609358808</v>
      </c>
      <c r="K60" s="2"/>
      <c r="L60" s="6">
        <f t="shared" si="22"/>
        <v>-99796.989999999991</v>
      </c>
      <c r="M60" s="2"/>
      <c r="N60" s="7">
        <f t="shared" si="23"/>
        <v>-13.306265333333332</v>
      </c>
      <c r="O60" s="11"/>
      <c r="P60" s="6">
        <v>-95457.430000000008</v>
      </c>
      <c r="Q60" s="2"/>
      <c r="R60" s="7">
        <f t="shared" si="24"/>
        <v>-1.8226757585235203</v>
      </c>
      <c r="S60" s="2"/>
      <c r="T60" s="6">
        <v>11000</v>
      </c>
      <c r="U60" s="2"/>
      <c r="V60" s="7">
        <f t="shared" si="25"/>
        <v>0.15381818690308055</v>
      </c>
      <c r="W60" s="2"/>
      <c r="X60" s="6">
        <f t="shared" si="26"/>
        <v>-106457.43000000001</v>
      </c>
      <c r="Y60" s="2"/>
      <c r="Z60" s="7">
        <f t="shared" si="27"/>
        <v>-9.6779481818181825</v>
      </c>
    </row>
    <row r="61" spans="1:26" s="29" customFormat="1" outlineLevel="1" collapsed="1" x14ac:dyDescent="0.25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5225.0200000000004</v>
      </c>
      <c r="E61" s="1"/>
      <c r="F61" s="5">
        <f t="shared" ref="F61:F69" si="28">IF(D$12=0,0,D61/D$12)</f>
        <v>0.10994424532980729</v>
      </c>
      <c r="G61" s="1"/>
      <c r="H61" s="1">
        <f>SUM(OSRRefH22_7x_0)</f>
        <v>2800</v>
      </c>
      <c r="I61" s="1"/>
      <c r="J61" s="5">
        <f t="shared" ref="J61:J69" si="29">IF(H$12=0,0,H61/H$12)</f>
        <v>4.0868156408272883E-2</v>
      </c>
      <c r="K61" s="1"/>
      <c r="L61" s="1">
        <f t="shared" ref="L61:L69" si="30">+D61-H61</f>
        <v>2425.0200000000004</v>
      </c>
      <c r="M61" s="1"/>
      <c r="N61" s="5">
        <f t="shared" ref="N61:N69" si="31">IF(H61=0,0,L61/H61)</f>
        <v>0.86607857142857159</v>
      </c>
      <c r="O61" s="14"/>
      <c r="P61" s="1">
        <f>SUM(OSRRefP22_7x_0)</f>
        <v>11603.12</v>
      </c>
      <c r="Q61" s="1"/>
      <c r="R61" s="5">
        <f t="shared" ref="R61:R69" si="32">IF(P$12=0,0,P61/P$12)</f>
        <v>0.22155138208979047</v>
      </c>
      <c r="S61" s="1"/>
      <c r="T61" s="1">
        <f>SUM(OSRRefT22_7x_0)</f>
        <v>5300</v>
      </c>
      <c r="U61" s="1"/>
      <c r="V61" s="5">
        <f t="shared" ref="V61:V69" si="33">IF(T$12=0,0,T61/T$12)</f>
        <v>7.4112399144211541E-2</v>
      </c>
      <c r="W61" s="1"/>
      <c r="X61" s="1">
        <f t="shared" ref="X61:X69" si="34">+P61-T61</f>
        <v>6303.1200000000008</v>
      </c>
      <c r="Y61" s="1"/>
      <c r="Z61" s="5">
        <f t="shared" ref="Z61:Z69" si="35">IF(T61=0,0,X61/T61)</f>
        <v>1.189267924528302</v>
      </c>
    </row>
    <row r="62" spans="1:26" s="24" customFormat="1" hidden="1" outlineLevel="2" x14ac:dyDescent="0.25">
      <c r="A62" s="27"/>
      <c r="B62" s="11" t="str">
        <f>CONCATENATE("          ", "6373", " - ", "MAINTENANCE CONTRACTS")</f>
        <v xml:space="preserve">          6373 - MAINTENANCE CONTRACTS</v>
      </c>
      <c r="C62" s="11"/>
      <c r="D62" s="6">
        <v>5225.0200000000004</v>
      </c>
      <c r="E62" s="2"/>
      <c r="F62" s="7">
        <f t="shared" si="28"/>
        <v>0.10994424532980729</v>
      </c>
      <c r="G62" s="2"/>
      <c r="H62" s="6">
        <v>2800</v>
      </c>
      <c r="I62" s="2"/>
      <c r="J62" s="7">
        <f t="shared" si="29"/>
        <v>4.0868156408272883E-2</v>
      </c>
      <c r="K62" s="2"/>
      <c r="L62" s="6">
        <f t="shared" si="30"/>
        <v>2425.0200000000004</v>
      </c>
      <c r="M62" s="2"/>
      <c r="N62" s="7">
        <f t="shared" si="31"/>
        <v>0.86607857142857159</v>
      </c>
      <c r="O62" s="11"/>
      <c r="P62" s="6">
        <v>11603.12</v>
      </c>
      <c r="Q62" s="2"/>
      <c r="R62" s="7">
        <f t="shared" si="32"/>
        <v>0.22155138208979047</v>
      </c>
      <c r="S62" s="2"/>
      <c r="T62" s="6">
        <v>5300</v>
      </c>
      <c r="U62" s="2"/>
      <c r="V62" s="7">
        <f t="shared" si="33"/>
        <v>7.4112399144211541E-2</v>
      </c>
      <c r="W62" s="2"/>
      <c r="X62" s="6">
        <f t="shared" si="34"/>
        <v>6303.1200000000008</v>
      </c>
      <c r="Y62" s="2"/>
      <c r="Z62" s="7">
        <f t="shared" si="35"/>
        <v>1.189267924528302</v>
      </c>
    </row>
    <row r="63" spans="1:26" s="29" customFormat="1" outlineLevel="1" collapsed="1" x14ac:dyDescent="0.25">
      <c r="A63" s="28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SUM(OSRRefD22_8x_0)</f>
        <v>4.6500000000000004</v>
      </c>
      <c r="E63" s="1"/>
      <c r="F63" s="5">
        <f t="shared" si="28"/>
        <v>9.7844743327988009E-5</v>
      </c>
      <c r="G63" s="1"/>
      <c r="H63" s="1">
        <f>SUM(OSRRefH22_8x_0)</f>
        <v>600</v>
      </c>
      <c r="I63" s="1"/>
      <c r="J63" s="5">
        <f t="shared" si="29"/>
        <v>8.757462087487046E-3</v>
      </c>
      <c r="K63" s="1"/>
      <c r="L63" s="1">
        <f t="shared" si="30"/>
        <v>-595.35</v>
      </c>
      <c r="M63" s="1"/>
      <c r="N63" s="5">
        <f t="shared" si="31"/>
        <v>-0.99225000000000008</v>
      </c>
      <c r="O63" s="14"/>
      <c r="P63" s="1">
        <f>SUM(OSRRefP22_8x_0)</f>
        <v>5322.2</v>
      </c>
      <c r="Q63" s="1"/>
      <c r="R63" s="5">
        <f t="shared" si="32"/>
        <v>0.10162273300269951</v>
      </c>
      <c r="S63" s="1"/>
      <c r="T63" s="1">
        <f>SUM(OSRRefT22_8x_0)</f>
        <v>750</v>
      </c>
      <c r="U63" s="1"/>
      <c r="V63" s="5">
        <f t="shared" si="33"/>
        <v>1.0487603652482766E-2</v>
      </c>
      <c r="W63" s="1"/>
      <c r="X63" s="1">
        <f t="shared" si="34"/>
        <v>4572.2</v>
      </c>
      <c r="Y63" s="1"/>
      <c r="Z63" s="5">
        <f t="shared" si="35"/>
        <v>6.0962666666666667</v>
      </c>
    </row>
    <row r="64" spans="1:26" s="24" customFormat="1" hidden="1" outlineLevel="2" x14ac:dyDescent="0.25">
      <c r="A64" s="27"/>
      <c r="B64" s="11" t="str">
        <f>CONCATENATE("          ", "6259", " - ", "ROYALTY &amp; COMMISSIONS")</f>
        <v xml:space="preserve">          6259 - ROYALTY &amp; COMMISSIONS</v>
      </c>
      <c r="C64" s="11"/>
      <c r="D64" s="6">
        <v>4.6500000000000004</v>
      </c>
      <c r="E64" s="2"/>
      <c r="F64" s="7">
        <f t="shared" si="28"/>
        <v>9.7844743327988009E-5</v>
      </c>
      <c r="G64" s="2"/>
      <c r="H64" s="6">
        <v>600</v>
      </c>
      <c r="I64" s="2"/>
      <c r="J64" s="7">
        <f t="shared" si="29"/>
        <v>8.757462087487046E-3</v>
      </c>
      <c r="K64" s="2"/>
      <c r="L64" s="6">
        <f t="shared" si="30"/>
        <v>-595.35</v>
      </c>
      <c r="M64" s="2"/>
      <c r="N64" s="7">
        <f t="shared" si="31"/>
        <v>-0.99225000000000008</v>
      </c>
      <c r="O64" s="11"/>
      <c r="P64" s="6">
        <v>5322.2</v>
      </c>
      <c r="Q64" s="2"/>
      <c r="R64" s="7">
        <f t="shared" si="32"/>
        <v>0.10162273300269951</v>
      </c>
      <c r="S64" s="2"/>
      <c r="T64" s="6">
        <v>750</v>
      </c>
      <c r="U64" s="2"/>
      <c r="V64" s="7">
        <f t="shared" si="33"/>
        <v>1.0487603652482766E-2</v>
      </c>
      <c r="W64" s="2"/>
      <c r="X64" s="6">
        <f t="shared" si="34"/>
        <v>4572.2</v>
      </c>
      <c r="Y64" s="2"/>
      <c r="Z64" s="7">
        <f t="shared" si="35"/>
        <v>6.0962666666666667</v>
      </c>
    </row>
    <row r="65" spans="1:26" s="29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SUM(OSRRefD22_9x_0)</f>
        <v>4783.22</v>
      </c>
      <c r="E65" s="1"/>
      <c r="F65" s="5">
        <f t="shared" si="28"/>
        <v>0.10064794261963415</v>
      </c>
      <c r="G65" s="1"/>
      <c r="H65" s="1">
        <f>SUM(OSRRefH22_9x_0)</f>
        <v>1900</v>
      </c>
      <c r="I65" s="1"/>
      <c r="J65" s="5">
        <f t="shared" si="29"/>
        <v>2.7731963277042315E-2</v>
      </c>
      <c r="K65" s="1"/>
      <c r="L65" s="1">
        <f t="shared" si="30"/>
        <v>2883.2200000000003</v>
      </c>
      <c r="M65" s="1"/>
      <c r="N65" s="5">
        <f t="shared" si="31"/>
        <v>1.517484210526316</v>
      </c>
      <c r="O65" s="14"/>
      <c r="P65" s="1">
        <f>SUM(OSRRefP22_9x_0)</f>
        <v>8931.02</v>
      </c>
      <c r="Q65" s="1"/>
      <c r="R65" s="5">
        <f t="shared" si="32"/>
        <v>0.17052998025285962</v>
      </c>
      <c r="S65" s="1"/>
      <c r="T65" s="1">
        <f>SUM(OSRRefT22_9x_0)</f>
        <v>2850</v>
      </c>
      <c r="U65" s="1"/>
      <c r="V65" s="5">
        <f t="shared" si="33"/>
        <v>3.9852893879434512E-2</v>
      </c>
      <c r="W65" s="1"/>
      <c r="X65" s="1">
        <f t="shared" si="34"/>
        <v>6081.02</v>
      </c>
      <c r="Y65" s="1"/>
      <c r="Z65" s="5">
        <f t="shared" si="35"/>
        <v>2.1336912280701754</v>
      </c>
    </row>
    <row r="66" spans="1:26" s="24" customFormat="1" hidden="1" outlineLevel="2" x14ac:dyDescent="0.25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310.91000000000003</v>
      </c>
      <c r="Q66" s="2"/>
      <c r="R66" s="7">
        <f t="shared" si="32"/>
        <v>5.9365532895925199E-3</v>
      </c>
      <c r="S66" s="2"/>
      <c r="T66" s="6"/>
      <c r="U66" s="2"/>
      <c r="V66" s="7">
        <f t="shared" si="33"/>
        <v>0</v>
      </c>
      <c r="W66" s="2"/>
      <c r="X66" s="6">
        <f t="shared" si="34"/>
        <v>310.91000000000003</v>
      </c>
      <c r="Y66" s="2"/>
      <c r="Z66" s="7">
        <f t="shared" si="35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6">
        <v>2044.69</v>
      </c>
      <c r="E67" s="2"/>
      <c r="F67" s="7">
        <f t="shared" si="28"/>
        <v>4.3024122201140602E-2</v>
      </c>
      <c r="G67" s="2"/>
      <c r="H67" s="6">
        <v>1500</v>
      </c>
      <c r="I67" s="2"/>
      <c r="J67" s="7">
        <f t="shared" si="29"/>
        <v>2.1893655218717615E-2</v>
      </c>
      <c r="K67" s="2"/>
      <c r="L67" s="6">
        <f t="shared" si="30"/>
        <v>544.69000000000005</v>
      </c>
      <c r="M67" s="2"/>
      <c r="N67" s="7">
        <f t="shared" si="31"/>
        <v>0.36312666666666671</v>
      </c>
      <c r="O67" s="11"/>
      <c r="P67" s="6">
        <v>3124.69</v>
      </c>
      <c r="Q67" s="2"/>
      <c r="R67" s="7">
        <f t="shared" si="32"/>
        <v>5.9663210248807851E-2</v>
      </c>
      <c r="S67" s="2"/>
      <c r="T67" s="6">
        <v>2200</v>
      </c>
      <c r="U67" s="2"/>
      <c r="V67" s="7">
        <f t="shared" si="33"/>
        <v>3.0763637380616111E-2</v>
      </c>
      <c r="W67" s="2"/>
      <c r="X67" s="6">
        <f t="shared" si="34"/>
        <v>924.69</v>
      </c>
      <c r="Y67" s="2"/>
      <c r="Z67" s="7">
        <f t="shared" si="35"/>
        <v>0.42031363636363639</v>
      </c>
    </row>
    <row r="68" spans="1:26" s="24" customFormat="1" hidden="1" outlineLevel="2" x14ac:dyDescent="0.25">
      <c r="A68" s="27"/>
      <c r="B68" s="11" t="str">
        <f>CONCATENATE("          ", "6245", " - ", "PRINTING")</f>
        <v xml:space="preserve">          6245 - PRINTING</v>
      </c>
      <c r="C68" s="11"/>
      <c r="D68" s="6">
        <v>1248</v>
      </c>
      <c r="E68" s="2"/>
      <c r="F68" s="7">
        <f t="shared" si="28"/>
        <v>2.6260266596414845E-2</v>
      </c>
      <c r="G68" s="2"/>
      <c r="H68" s="6">
        <v>300</v>
      </c>
      <c r="I68" s="2"/>
      <c r="J68" s="7">
        <f t="shared" si="29"/>
        <v>4.378731043743523E-3</v>
      </c>
      <c r="K68" s="2"/>
      <c r="L68" s="6">
        <f t="shared" si="30"/>
        <v>948</v>
      </c>
      <c r="M68" s="2"/>
      <c r="N68" s="7">
        <f t="shared" si="31"/>
        <v>3.16</v>
      </c>
      <c r="O68" s="11"/>
      <c r="P68" s="6">
        <v>-295.5</v>
      </c>
      <c r="Q68" s="2"/>
      <c r="R68" s="7">
        <f t="shared" si="32"/>
        <v>-5.6423128785648242E-3</v>
      </c>
      <c r="S68" s="2"/>
      <c r="T68" s="6">
        <v>500</v>
      </c>
      <c r="U68" s="2"/>
      <c r="V68" s="7">
        <f t="shared" si="33"/>
        <v>6.9917357683218434E-3</v>
      </c>
      <c r="W68" s="2"/>
      <c r="X68" s="6">
        <f t="shared" si="34"/>
        <v>-795.5</v>
      </c>
      <c r="Y68" s="2"/>
      <c r="Z68" s="7">
        <f t="shared" si="35"/>
        <v>-1.591</v>
      </c>
    </row>
    <row r="69" spans="1:26" s="24" customFormat="1" hidden="1" outlineLevel="2" x14ac:dyDescent="0.25">
      <c r="A69" s="27"/>
      <c r="B69" s="11" t="str">
        <f>CONCATENATE("          ", "6247", " - ", "STORE SUPPLIES")</f>
        <v xml:space="preserve">          6247 - STORE SUPPLIES</v>
      </c>
      <c r="C69" s="11"/>
      <c r="D69" s="6">
        <v>1490.53</v>
      </c>
      <c r="E69" s="2"/>
      <c r="F69" s="7">
        <f t="shared" si="28"/>
        <v>3.1363553822078699E-2</v>
      </c>
      <c r="G69" s="2"/>
      <c r="H69" s="6">
        <v>100</v>
      </c>
      <c r="I69" s="2"/>
      <c r="J69" s="7">
        <f t="shared" si="29"/>
        <v>1.4595770145811745E-3</v>
      </c>
      <c r="K69" s="2"/>
      <c r="L69" s="6">
        <f t="shared" si="30"/>
        <v>1390.53</v>
      </c>
      <c r="M69" s="2"/>
      <c r="N69" s="7">
        <f t="shared" si="31"/>
        <v>13.9053</v>
      </c>
      <c r="O69" s="11"/>
      <c r="P69" s="6">
        <v>5790.92</v>
      </c>
      <c r="Q69" s="2"/>
      <c r="R69" s="7">
        <f t="shared" si="32"/>
        <v>0.11057252959302406</v>
      </c>
      <c r="S69" s="2"/>
      <c r="T69" s="6">
        <v>150</v>
      </c>
      <c r="U69" s="2"/>
      <c r="V69" s="7">
        <f t="shared" si="33"/>
        <v>2.0975207304965529E-3</v>
      </c>
      <c r="W69" s="2"/>
      <c r="X69" s="6">
        <f t="shared" si="34"/>
        <v>5640.92</v>
      </c>
      <c r="Y69" s="2"/>
      <c r="Z69" s="7">
        <f t="shared" si="35"/>
        <v>37.606133333333332</v>
      </c>
    </row>
    <row r="70" spans="1:26" s="29" customFormat="1" outlineLevel="1" collapsed="1" x14ac:dyDescent="0.25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SUM(OSRRefD22_10x_0)</f>
        <v>200.75</v>
      </c>
      <c r="E70" s="1"/>
      <c r="F70" s="5">
        <f t="shared" ref="F70:F73" si="36">IF(D$12=0,0,D70/D$12)</f>
        <v>4.2241574673319553E-3</v>
      </c>
      <c r="G70" s="1"/>
      <c r="H70" s="1">
        <f>SUM(OSRRefH22_10x_0)</f>
        <v>165</v>
      </c>
      <c r="I70" s="1"/>
      <c r="J70" s="5">
        <f t="shared" ref="J70:J73" si="37">IF(H$12=0,0,H70/H$12)</f>
        <v>2.4083020740589376E-3</v>
      </c>
      <c r="K70" s="1"/>
      <c r="L70" s="1">
        <f t="shared" ref="L70:L73" si="38">+D70-H70</f>
        <v>35.75</v>
      </c>
      <c r="M70" s="1"/>
      <c r="N70" s="5">
        <f t="shared" ref="N70:N73" si="39">IF(H70=0,0,L70/H70)</f>
        <v>0.21666666666666667</v>
      </c>
      <c r="O70" s="14"/>
      <c r="P70" s="1">
        <f>SUM(OSRRefP22_10x_0)</f>
        <v>400.75</v>
      </c>
      <c r="Q70" s="1"/>
      <c r="R70" s="5">
        <f t="shared" ref="R70:R73" si="40">IF(P$12=0,0,P70/P$12)</f>
        <v>7.6519691576475571E-3</v>
      </c>
      <c r="S70" s="1"/>
      <c r="T70" s="1">
        <f>SUM(OSRRefT22_10x_0)</f>
        <v>330</v>
      </c>
      <c r="U70" s="1"/>
      <c r="V70" s="5">
        <f t="shared" ref="V70:V73" si="41">IF(T$12=0,0,T70/T$12)</f>
        <v>4.6145456070924165E-3</v>
      </c>
      <c r="W70" s="1"/>
      <c r="X70" s="1">
        <f t="shared" ref="X70:X73" si="42">+P70-T70</f>
        <v>70.75</v>
      </c>
      <c r="Y70" s="1"/>
      <c r="Z70" s="5">
        <f t="shared" ref="Z70:Z73" si="43">IF(T70=0,0,X70/T70)</f>
        <v>0.21439393939393939</v>
      </c>
    </row>
    <row r="71" spans="1:26" s="24" customFormat="1" hidden="1" outlineLevel="2" x14ac:dyDescent="0.25">
      <c r="A71" s="27"/>
      <c r="B71" s="11" t="str">
        <f>CONCATENATE("          ", "6309", " - ", "TELEPHONE")</f>
        <v xml:space="preserve">          6309 - TELEPHONE</v>
      </c>
      <c r="C71" s="11"/>
      <c r="D71" s="6">
        <v>200.75</v>
      </c>
      <c r="E71" s="2"/>
      <c r="F71" s="7">
        <f t="shared" si="36"/>
        <v>4.2241574673319553E-3</v>
      </c>
      <c r="G71" s="2"/>
      <c r="H71" s="6">
        <v>165</v>
      </c>
      <c r="I71" s="2"/>
      <c r="J71" s="7">
        <f t="shared" si="37"/>
        <v>2.4083020740589376E-3</v>
      </c>
      <c r="K71" s="2"/>
      <c r="L71" s="6">
        <f t="shared" si="38"/>
        <v>35.75</v>
      </c>
      <c r="M71" s="2"/>
      <c r="N71" s="7">
        <f t="shared" si="39"/>
        <v>0.21666666666666667</v>
      </c>
      <c r="O71" s="11"/>
      <c r="P71" s="6">
        <v>400.75</v>
      </c>
      <c r="Q71" s="2"/>
      <c r="R71" s="7">
        <f t="shared" si="40"/>
        <v>7.6519691576475571E-3</v>
      </c>
      <c r="S71" s="2"/>
      <c r="T71" s="6">
        <v>330</v>
      </c>
      <c r="U71" s="2"/>
      <c r="V71" s="7">
        <f t="shared" si="41"/>
        <v>4.6145456070924165E-3</v>
      </c>
      <c r="W71" s="2"/>
      <c r="X71" s="6">
        <f t="shared" si="42"/>
        <v>70.75</v>
      </c>
      <c r="Y71" s="2"/>
      <c r="Z71" s="7">
        <f t="shared" si="43"/>
        <v>0.21439393939393939</v>
      </c>
    </row>
    <row r="72" spans="1:26" s="29" customFormat="1" outlineLevel="1" collapsed="1" x14ac:dyDescent="0.25">
      <c r="A72" s="28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SUM(OSRRefD22_11x_0)</f>
        <v>15.02</v>
      </c>
      <c r="E72" s="1"/>
      <c r="F72" s="5">
        <f t="shared" si="36"/>
        <v>3.1604904188954402E-4</v>
      </c>
      <c r="G72" s="1"/>
      <c r="H72" s="1">
        <f>SUM(OSRRefH22_11x_0)</f>
        <v>0</v>
      </c>
      <c r="I72" s="1"/>
      <c r="J72" s="5">
        <f t="shared" si="37"/>
        <v>0</v>
      </c>
      <c r="K72" s="1"/>
      <c r="L72" s="1">
        <f t="shared" si="38"/>
        <v>15.02</v>
      </c>
      <c r="M72" s="1"/>
      <c r="N72" s="5">
        <f t="shared" si="39"/>
        <v>0</v>
      </c>
      <c r="O72" s="14"/>
      <c r="P72" s="1">
        <f>SUM(OSRRefP22_11x_0)</f>
        <v>15.02</v>
      </c>
      <c r="Q72" s="1"/>
      <c r="R72" s="5">
        <f t="shared" si="40"/>
        <v>2.8679370367527466E-4</v>
      </c>
      <c r="S72" s="1"/>
      <c r="T72" s="1">
        <f>SUM(OSRRefT22_11x_0)</f>
        <v>0</v>
      </c>
      <c r="U72" s="1"/>
      <c r="V72" s="5">
        <f t="shared" si="41"/>
        <v>0</v>
      </c>
      <c r="W72" s="1"/>
      <c r="X72" s="1">
        <f t="shared" si="42"/>
        <v>15.02</v>
      </c>
      <c r="Y72" s="1"/>
      <c r="Z72" s="5">
        <f t="shared" si="43"/>
        <v>0</v>
      </c>
    </row>
    <row r="73" spans="1:26" s="24" customFormat="1" hidden="1" outlineLevel="2" x14ac:dyDescent="0.25">
      <c r="A73" s="27"/>
      <c r="B73" s="11" t="str">
        <f>CONCATENATE("          ", "6274", " - ", "UTILITIES")</f>
        <v xml:space="preserve">          6274 - UTILITIES</v>
      </c>
      <c r="C73" s="11"/>
      <c r="D73" s="6">
        <v>15.02</v>
      </c>
      <c r="E73" s="2"/>
      <c r="F73" s="7">
        <f t="shared" si="36"/>
        <v>3.1604904188954402E-4</v>
      </c>
      <c r="G73" s="2"/>
      <c r="H73" s="6"/>
      <c r="I73" s="2"/>
      <c r="J73" s="7">
        <f t="shared" si="37"/>
        <v>0</v>
      </c>
      <c r="K73" s="2"/>
      <c r="L73" s="6">
        <f t="shared" si="38"/>
        <v>15.02</v>
      </c>
      <c r="M73" s="2"/>
      <c r="N73" s="7">
        <f t="shared" si="39"/>
        <v>0</v>
      </c>
      <c r="O73" s="11"/>
      <c r="P73" s="6">
        <v>15.02</v>
      </c>
      <c r="Q73" s="2"/>
      <c r="R73" s="7">
        <f t="shared" si="40"/>
        <v>2.8679370367527466E-4</v>
      </c>
      <c r="S73" s="2"/>
      <c r="T73" s="6"/>
      <c r="U73" s="2"/>
      <c r="V73" s="7">
        <f t="shared" si="41"/>
        <v>0</v>
      </c>
      <c r="W73" s="2"/>
      <c r="X73" s="6">
        <f t="shared" si="42"/>
        <v>15.02</v>
      </c>
      <c r="Y73" s="2"/>
      <c r="Z73" s="7">
        <f t="shared" si="43"/>
        <v>0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2" customFormat="1" collapsed="1" x14ac:dyDescent="0.25">
      <c r="A75" s="10"/>
      <c r="B75" s="25" t="s">
        <v>0</v>
      </c>
      <c r="C75" s="10"/>
      <c r="D75" s="4">
        <f>SUM(OSRRefD25x_0)</f>
        <v>6782</v>
      </c>
      <c r="E75" s="4"/>
      <c r="F75" s="12">
        <f t="shared" ref="F75:F76" si="44">IF(D$12=0,0,D75/D$12)</f>
        <v>0.14270603209686336</v>
      </c>
      <c r="G75" s="4"/>
      <c r="H75" s="4">
        <f>SUM(OSRRefH25x_0)</f>
        <v>6875</v>
      </c>
      <c r="I75" s="4"/>
      <c r="J75" s="12">
        <f t="shared" ref="J75:J76" si="45">IF(H$12=0,0,H75/H$12)</f>
        <v>0.10034591975245574</v>
      </c>
      <c r="K75" s="4"/>
      <c r="L75" s="4">
        <f t="shared" ref="L75:L76" si="46">+D75-H75</f>
        <v>-93</v>
      </c>
      <c r="M75" s="4"/>
      <c r="N75" s="12">
        <f t="shared" ref="N75:N76" si="47">IF(H75=0,0,L75/H75)</f>
        <v>-1.3527272727272728E-2</v>
      </c>
      <c r="O75" s="10"/>
      <c r="P75" s="4">
        <f>SUM(OSRRefP25x_0)</f>
        <v>13564</v>
      </c>
      <c r="Q75" s="4"/>
      <c r="R75" s="12">
        <f t="shared" ref="R75:R76" si="48">IF(P$12=0,0,P75/P$12)</f>
        <v>0.25899266289290446</v>
      </c>
      <c r="S75" s="4"/>
      <c r="T75" s="4">
        <f>SUM(OSRRefT25x_0)</f>
        <v>13750</v>
      </c>
      <c r="U75" s="4"/>
      <c r="V75" s="12">
        <f t="shared" ref="V75:V76" si="49">IF(T$12=0,0,T75/T$12)</f>
        <v>0.19227273362885069</v>
      </c>
      <c r="W75" s="4"/>
      <c r="X75" s="4">
        <f t="shared" ref="X75:X76" si="50">+P75-T75</f>
        <v>-186</v>
      </c>
      <c r="Y75" s="4"/>
      <c r="Z75" s="12">
        <f t="shared" ref="Z75:Z76" si="51">IF(T75=0,0,X75/T75)</f>
        <v>-1.3527272727272728E-2</v>
      </c>
    </row>
    <row r="76" spans="1:26" s="24" customFormat="1" hidden="1" outlineLevel="1" x14ac:dyDescent="0.25">
      <c r="A76" s="51"/>
      <c r="B76" s="11" t="str">
        <f>CONCATENATE("          ", "9150", " - ", "MISC. INCOME")</f>
        <v xml:space="preserve">          9150 - MISC. INCOME</v>
      </c>
      <c r="C76" s="11"/>
      <c r="D76" s="2">
        <f>--6782</f>
        <v>6782</v>
      </c>
      <c r="E76" s="2"/>
      <c r="F76" s="23">
        <f t="shared" si="44"/>
        <v>0.14270603209686336</v>
      </c>
      <c r="G76" s="2"/>
      <c r="H76" s="2">
        <v>6875</v>
      </c>
      <c r="I76" s="2"/>
      <c r="J76" s="23">
        <f t="shared" si="45"/>
        <v>0.10034591975245574</v>
      </c>
      <c r="K76" s="2"/>
      <c r="L76" s="2">
        <f t="shared" si="46"/>
        <v>-93</v>
      </c>
      <c r="M76" s="2"/>
      <c r="N76" s="23">
        <f t="shared" si="47"/>
        <v>-1.3527272727272728E-2</v>
      </c>
      <c r="O76" s="11"/>
      <c r="P76" s="2">
        <f>--13564</f>
        <v>13564</v>
      </c>
      <c r="Q76" s="2"/>
      <c r="R76" s="23">
        <f t="shared" si="48"/>
        <v>0.25899266289290446</v>
      </c>
      <c r="S76" s="2"/>
      <c r="T76" s="2">
        <v>13750</v>
      </c>
      <c r="U76" s="2"/>
      <c r="V76" s="23">
        <f t="shared" si="49"/>
        <v>0.19227273362885069</v>
      </c>
      <c r="W76" s="2"/>
      <c r="X76" s="2">
        <f t="shared" si="50"/>
        <v>-186</v>
      </c>
      <c r="Y76" s="2"/>
      <c r="Z76" s="23">
        <f t="shared" si="51"/>
        <v>-1.3527272727272728E-2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10"/>
      <c r="B78" s="26" t="s">
        <v>3</v>
      </c>
      <c r="C78" s="26"/>
      <c r="D78" s="21">
        <f>+D26-D28+D75</f>
        <v>104716.87999999998</v>
      </c>
      <c r="E78" s="13"/>
      <c r="F78" s="20">
        <f>IF(D$12=0,0,D78/D$12)</f>
        <v>2.2034400528403695</v>
      </c>
      <c r="G78" s="13"/>
      <c r="H78" s="21">
        <f>+H26-H28+H75</f>
        <v>41854.56838300766</v>
      </c>
      <c r="I78" s="13"/>
      <c r="J78" s="20">
        <f>IF(H$12=0,0,H78/H$12)</f>
        <v>0.61089965967053927</v>
      </c>
      <c r="K78" s="16"/>
      <c r="L78" s="21">
        <f>+D78-H78</f>
        <v>62862.311616992316</v>
      </c>
      <c r="M78" s="16"/>
      <c r="N78" s="20">
        <f>IF(H78=0,0,L78/H78)</f>
        <v>1.5019223479201733</v>
      </c>
      <c r="O78" s="25"/>
      <c r="P78" s="21">
        <f>+P26-P28+P75</f>
        <v>67192.800000000017</v>
      </c>
      <c r="Q78" s="13"/>
      <c r="R78" s="20">
        <f>IF(P$12=0,0,P78/P$12)</f>
        <v>1.2829874815121172</v>
      </c>
      <c r="S78" s="13"/>
      <c r="T78" s="21">
        <f>+T26-T28+T75</f>
        <v>21849.049106767256</v>
      </c>
      <c r="U78" s="13"/>
      <c r="V78" s="20">
        <f>IF(T$12=0,0,T78/T$12)</f>
        <v>0.30552555628721012</v>
      </c>
      <c r="W78" s="16"/>
      <c r="X78" s="21">
        <f>+P78-T78</f>
        <v>45343.750893232762</v>
      </c>
      <c r="Y78" s="16"/>
      <c r="Z78" s="20">
        <f>IF(T78=0,0,X78/T78)</f>
        <v>2.0753191899407901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x14ac:dyDescent="0.25">
      <c r="A80" s="52"/>
      <c r="B80" s="10" t="s">
        <v>14</v>
      </c>
      <c r="C80" s="10"/>
      <c r="D80" s="4">
        <v>6510.77</v>
      </c>
      <c r="E80" s="4"/>
      <c r="F80" s="12">
        <f>IF(D$12=0,0,D80/D$12)</f>
        <v>0.13699884290700312</v>
      </c>
      <c r="G80" s="4"/>
      <c r="H80" s="4">
        <v>10221</v>
      </c>
      <c r="I80" s="4"/>
      <c r="J80" s="12">
        <f>IF(H$12=0,0,H80/H$12)</f>
        <v>0.14918336666034182</v>
      </c>
      <c r="K80" s="4"/>
      <c r="L80" s="4">
        <f>+D80-H80</f>
        <v>-3710.2299999999996</v>
      </c>
      <c r="M80" s="4"/>
      <c r="N80" s="12">
        <f>IF(H80=0,0,L80/H80)</f>
        <v>-0.3630006848644946</v>
      </c>
      <c r="O80" s="10"/>
      <c r="P80" s="4">
        <v>8842.34</v>
      </c>
      <c r="Q80" s="4"/>
      <c r="R80" s="12">
        <f>IF(P$12=0,0,P80/P$12)</f>
        <v>0.16883671356564767</v>
      </c>
      <c r="S80" s="4"/>
      <c r="T80" s="4">
        <v>11678</v>
      </c>
      <c r="U80" s="4"/>
      <c r="V80" s="12">
        <f>IF(T$12=0,0,T80/T$12)</f>
        <v>0.16329898060492498</v>
      </c>
      <c r="W80" s="4"/>
      <c r="X80" s="4">
        <f>+P80-T80</f>
        <v>-2835.66</v>
      </c>
      <c r="Y80" s="4"/>
      <c r="Z80" s="12">
        <f>IF(T80=0,0,X80/T80)</f>
        <v>-0.24282068847405378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2" customFormat="1" ht="15.75" thickBot="1" x14ac:dyDescent="0.3">
      <c r="A82" s="10"/>
      <c r="B82" s="26" t="s">
        <v>4</v>
      </c>
      <c r="C82" s="26"/>
      <c r="D82" s="33">
        <f>+D78-D80</f>
        <v>98206.109999999971</v>
      </c>
      <c r="E82" s="13"/>
      <c r="F82" s="31">
        <f>IF(D$12=0,0,D82/D$12)</f>
        <v>2.066441209933366</v>
      </c>
      <c r="G82" s="13"/>
      <c r="H82" s="33">
        <f>+H78-H80</f>
        <v>31633.56838300766</v>
      </c>
      <c r="I82" s="13"/>
      <c r="J82" s="31">
        <f>IF(H$12=0,0,H82/H$12)</f>
        <v>0.46171629301019745</v>
      </c>
      <c r="K82" s="16"/>
      <c r="L82" s="33">
        <f>D82-H82</f>
        <v>66572.541616992312</v>
      </c>
      <c r="M82" s="16"/>
      <c r="N82" s="31">
        <f>IF(H82=0,0,L82/H82)</f>
        <v>2.1044904201434491</v>
      </c>
      <c r="O82" s="25"/>
      <c r="P82" s="33">
        <f>+P78-P80</f>
        <v>58350.460000000021</v>
      </c>
      <c r="Q82" s="13"/>
      <c r="R82" s="31">
        <f>IF(P$12=0,0,P82/P$12)</f>
        <v>1.1141507679464695</v>
      </c>
      <c r="S82" s="13"/>
      <c r="T82" s="33">
        <f>+T78-T80</f>
        <v>10171.049106767256</v>
      </c>
      <c r="U82" s="13"/>
      <c r="V82" s="31">
        <f>IF(T$12=0,0,T82/T$12)</f>
        <v>0.14222657568228511</v>
      </c>
      <c r="W82" s="16"/>
      <c r="X82" s="33">
        <f>P82-T82</f>
        <v>48179.410893232765</v>
      </c>
      <c r="Y82" s="16"/>
      <c r="Z82" s="31">
        <f>IF(T82=0,0,X82/T82)</f>
        <v>4.7369165547708194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ht="15.75" thickBot="1" x14ac:dyDescent="0.3">
      <c r="A85" s="10"/>
      <c r="B85" s="26" t="s">
        <v>5</v>
      </c>
      <c r="C85" s="26"/>
      <c r="D85" s="32">
        <f>SUM(D82:D84)</f>
        <v>98206.109999999971</v>
      </c>
      <c r="E85" s="13"/>
      <c r="F85" s="35">
        <f>IF(D$12=0,0,D85/D$12)</f>
        <v>2.066441209933366</v>
      </c>
      <c r="G85" s="13"/>
      <c r="H85" s="32">
        <f>SUM(H82:H84)</f>
        <v>31633.56838300766</v>
      </c>
      <c r="I85" s="13"/>
      <c r="J85" s="35">
        <f>IF(H$12=0,0,H85/H$12)</f>
        <v>0.46171629301019745</v>
      </c>
      <c r="K85" s="16"/>
      <c r="L85" s="32">
        <f>+D85-H85</f>
        <v>66572.541616992312</v>
      </c>
      <c r="M85" s="16"/>
      <c r="N85" s="35">
        <f>IF(H85=0,0,L85/H85)</f>
        <v>2.1044904201434491</v>
      </c>
      <c r="O85" s="25"/>
      <c r="P85" s="32">
        <f>SUM(P82:P84)</f>
        <v>58350.460000000021</v>
      </c>
      <c r="Q85" s="13"/>
      <c r="R85" s="35">
        <f>IF(P$12=0,0,P85/P$12)</f>
        <v>1.1141507679464695</v>
      </c>
      <c r="S85" s="13"/>
      <c r="T85" s="32">
        <f>SUM(T82:T84)</f>
        <v>10171.049106767256</v>
      </c>
      <c r="U85" s="13"/>
      <c r="V85" s="35">
        <f>IF(T$12=0,0,T85/T$12)</f>
        <v>0.14222657568228511</v>
      </c>
      <c r="W85" s="16"/>
      <c r="X85" s="32">
        <f>+P85-T85</f>
        <v>48179.410893232765</v>
      </c>
      <c r="Y85" s="16"/>
      <c r="Z85" s="35">
        <f>IF(T85=0,0,X85/T85)</f>
        <v>4.7369165547708194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9">
        <v>44113.689516817132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491671.12000000005</v>
      </c>
      <c r="E12" s="4"/>
      <c r="F12" s="12"/>
      <c r="G12" s="4"/>
      <c r="H12" s="4">
        <f>SUM(OSRRefH13x_0)</f>
        <v>451363</v>
      </c>
      <c r="I12" s="4"/>
      <c r="J12" s="12"/>
      <c r="K12" s="4"/>
      <c r="L12" s="4">
        <f t="shared" ref="L12:L29" si="0">+D12-H12</f>
        <v>40308.120000000054</v>
      </c>
      <c r="M12" s="4"/>
      <c r="N12" s="12">
        <f t="shared" ref="N12:N29" si="1">IF(H12=0,0,L12/H12)</f>
        <v>8.9303110799954927E-2</v>
      </c>
      <c r="O12" s="10"/>
      <c r="P12" s="4">
        <f>SUM(OSRRefP13x_0)</f>
        <v>699638.19000000018</v>
      </c>
      <c r="Q12" s="4"/>
      <c r="R12" s="12"/>
      <c r="S12" s="4"/>
      <c r="T12" s="4">
        <f>SUM(OSRRefT13x_0)</f>
        <v>784667</v>
      </c>
      <c r="U12" s="4"/>
      <c r="V12" s="12"/>
      <c r="W12" s="4"/>
      <c r="X12" s="4">
        <f t="shared" ref="X12:X29" si="2">+P12-T12</f>
        <v>-85028.809999999823</v>
      </c>
      <c r="Y12" s="4"/>
      <c r="Z12" s="12">
        <f t="shared" ref="Z12:Z29" si="3">IF(T12=0,0,X12/T12)</f>
        <v>-0.10836292338023623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-803.28</f>
        <v>-803.28</v>
      </c>
      <c r="E13" s="2"/>
      <c r="F13" s="23"/>
      <c r="G13" s="2"/>
      <c r="H13" s="2">
        <v>427552</v>
      </c>
      <c r="I13" s="2"/>
      <c r="J13" s="23"/>
      <c r="K13" s="2"/>
      <c r="L13" s="2">
        <f t="shared" si="0"/>
        <v>-428355.28</v>
      </c>
      <c r="M13" s="2"/>
      <c r="N13" s="23">
        <f t="shared" si="1"/>
        <v>-1.0018787890127985</v>
      </c>
      <c r="O13" s="11"/>
      <c r="P13" s="2">
        <f>-1174.19</f>
        <v>-1174.19</v>
      </c>
      <c r="Q13" s="2"/>
      <c r="R13" s="23"/>
      <c r="S13" s="2"/>
      <c r="T13" s="2">
        <v>749125</v>
      </c>
      <c r="U13" s="2"/>
      <c r="V13" s="23"/>
      <c r="W13" s="2"/>
      <c r="X13" s="2">
        <f t="shared" si="2"/>
        <v>-750299.19</v>
      </c>
      <c r="Y13" s="2"/>
      <c r="Z13" s="23">
        <f t="shared" si="3"/>
        <v>-1.0015674153178709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--16305.86</f>
        <v>16305.86</v>
      </c>
      <c r="E14" s="2"/>
      <c r="F14" s="23"/>
      <c r="G14" s="2"/>
      <c r="H14" s="2"/>
      <c r="I14" s="2"/>
      <c r="J14" s="23"/>
      <c r="K14" s="2"/>
      <c r="L14" s="2">
        <f t="shared" si="0"/>
        <v>16305.86</v>
      </c>
      <c r="M14" s="2"/>
      <c r="N14" s="23">
        <f t="shared" si="1"/>
        <v>0</v>
      </c>
      <c r="O14" s="11"/>
      <c r="P14" s="2">
        <f>--37863.02</f>
        <v>37863.019999999997</v>
      </c>
      <c r="Q14" s="2"/>
      <c r="R14" s="23"/>
      <c r="S14" s="2"/>
      <c r="T14" s="2"/>
      <c r="U14" s="2"/>
      <c r="V14" s="23"/>
      <c r="W14" s="2"/>
      <c r="X14" s="2">
        <f t="shared" si="2"/>
        <v>37863.019999999997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--403983.14</f>
        <v>403983.14</v>
      </c>
      <c r="E15" s="2"/>
      <c r="F15" s="23"/>
      <c r="G15" s="2"/>
      <c r="H15" s="2"/>
      <c r="I15" s="2"/>
      <c r="J15" s="23"/>
      <c r="K15" s="2"/>
      <c r="L15" s="2">
        <f t="shared" si="0"/>
        <v>403983.14</v>
      </c>
      <c r="M15" s="2"/>
      <c r="N15" s="23">
        <f t="shared" si="1"/>
        <v>0</v>
      </c>
      <c r="O15" s="11"/>
      <c r="P15" s="2">
        <f>--541212.01</f>
        <v>541212.01</v>
      </c>
      <c r="Q15" s="2"/>
      <c r="R15" s="23"/>
      <c r="S15" s="2"/>
      <c r="T15" s="2"/>
      <c r="U15" s="2"/>
      <c r="V15" s="23"/>
      <c r="W15" s="2"/>
      <c r="X15" s="2">
        <f t="shared" si="2"/>
        <v>541212.01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--42925.21</f>
        <v>42925.21</v>
      </c>
      <c r="E16" s="2"/>
      <c r="F16" s="23"/>
      <c r="G16" s="2"/>
      <c r="H16" s="2"/>
      <c r="I16" s="2"/>
      <c r="J16" s="23"/>
      <c r="K16" s="2"/>
      <c r="L16" s="2">
        <f t="shared" si="0"/>
        <v>42925.21</v>
      </c>
      <c r="M16" s="2"/>
      <c r="N16" s="23">
        <f t="shared" si="1"/>
        <v>0</v>
      </c>
      <c r="O16" s="11"/>
      <c r="P16" s="2">
        <f>--49715.36</f>
        <v>49715.360000000001</v>
      </c>
      <c r="Q16" s="2"/>
      <c r="R16" s="23"/>
      <c r="S16" s="2"/>
      <c r="T16" s="2"/>
      <c r="U16" s="2"/>
      <c r="V16" s="23"/>
      <c r="W16" s="2"/>
      <c r="X16" s="2">
        <f t="shared" si="2"/>
        <v>49715.360000000001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--129</f>
        <v>129</v>
      </c>
      <c r="E17" s="2"/>
      <c r="F17" s="23"/>
      <c r="G17" s="2"/>
      <c r="H17" s="2"/>
      <c r="I17" s="2"/>
      <c r="J17" s="23"/>
      <c r="K17" s="2"/>
      <c r="L17" s="2">
        <f t="shared" si="0"/>
        <v>129</v>
      </c>
      <c r="M17" s="2"/>
      <c r="N17" s="23">
        <f t="shared" si="1"/>
        <v>0</v>
      </c>
      <c r="O17" s="11"/>
      <c r="P17" s="2">
        <f>--129</f>
        <v>129</v>
      </c>
      <c r="Q17" s="2"/>
      <c r="R17" s="23"/>
      <c r="S17" s="2"/>
      <c r="T17" s="2"/>
      <c r="U17" s="2"/>
      <c r="V17" s="23"/>
      <c r="W17" s="2"/>
      <c r="X17" s="2">
        <f t="shared" si="2"/>
        <v>129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--1308.27</f>
        <v>1308.27</v>
      </c>
      <c r="E18" s="2"/>
      <c r="F18" s="23"/>
      <c r="G18" s="2"/>
      <c r="H18" s="2"/>
      <c r="I18" s="2"/>
      <c r="J18" s="23"/>
      <c r="K18" s="2"/>
      <c r="L18" s="2">
        <f t="shared" si="0"/>
        <v>1308.27</v>
      </c>
      <c r="M18" s="2"/>
      <c r="N18" s="23">
        <f t="shared" si="1"/>
        <v>0</v>
      </c>
      <c r="O18" s="11"/>
      <c r="P18" s="2">
        <f>--27267.48</f>
        <v>27267.48</v>
      </c>
      <c r="Q18" s="2"/>
      <c r="R18" s="23"/>
      <c r="S18" s="2"/>
      <c r="T18" s="2"/>
      <c r="U18" s="2"/>
      <c r="V18" s="23"/>
      <c r="W18" s="2"/>
      <c r="X18" s="2">
        <f t="shared" si="2"/>
        <v>27267.48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3"/>
      <c r="G19" s="2"/>
      <c r="H19" s="2">
        <v>23811</v>
      </c>
      <c r="I19" s="2"/>
      <c r="J19" s="23"/>
      <c r="K19" s="2"/>
      <c r="L19" s="2">
        <f t="shared" si="0"/>
        <v>-23811</v>
      </c>
      <c r="M19" s="2"/>
      <c r="N19" s="23">
        <f t="shared" si="1"/>
        <v>-1</v>
      </c>
      <c r="O19" s="11"/>
      <c r="P19" s="2">
        <f>0</f>
        <v>0</v>
      </c>
      <c r="Q19" s="2"/>
      <c r="R19" s="23"/>
      <c r="S19" s="2"/>
      <c r="T19" s="2">
        <v>35542</v>
      </c>
      <c r="U19" s="2"/>
      <c r="V19" s="23"/>
      <c r="W19" s="2"/>
      <c r="X19" s="2">
        <f t="shared" si="2"/>
        <v>-35542</v>
      </c>
      <c r="Y19" s="2"/>
      <c r="Z19" s="23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--2349.29</f>
        <v>2349.29</v>
      </c>
      <c r="E20" s="2"/>
      <c r="F20" s="23"/>
      <c r="G20" s="2"/>
      <c r="H20" s="2"/>
      <c r="I20" s="2"/>
      <c r="J20" s="23"/>
      <c r="K20" s="2"/>
      <c r="L20" s="2">
        <f t="shared" si="0"/>
        <v>2349.29</v>
      </c>
      <c r="M20" s="2"/>
      <c r="N20" s="23">
        <f t="shared" si="1"/>
        <v>0</v>
      </c>
      <c r="O20" s="11"/>
      <c r="P20" s="2">
        <f>--2639.27</f>
        <v>2639.27</v>
      </c>
      <c r="Q20" s="2"/>
      <c r="R20" s="23"/>
      <c r="S20" s="2"/>
      <c r="T20" s="2"/>
      <c r="U20" s="2"/>
      <c r="V20" s="23"/>
      <c r="W20" s="2"/>
      <c r="X20" s="2">
        <f t="shared" si="2"/>
        <v>2639.27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--46190.39</f>
        <v>46190.39</v>
      </c>
      <c r="E21" s="2"/>
      <c r="F21" s="23"/>
      <c r="G21" s="2"/>
      <c r="H21" s="2"/>
      <c r="I21" s="2"/>
      <c r="J21" s="23"/>
      <c r="K21" s="2"/>
      <c r="L21" s="2">
        <f t="shared" si="0"/>
        <v>46190.39</v>
      </c>
      <c r="M21" s="2"/>
      <c r="N21" s="23">
        <f t="shared" si="1"/>
        <v>0</v>
      </c>
      <c r="O21" s="11"/>
      <c r="P21" s="2">
        <f>--82067.38</f>
        <v>82067.38</v>
      </c>
      <c r="Q21" s="2"/>
      <c r="R21" s="23"/>
      <c r="S21" s="2"/>
      <c r="T21" s="2"/>
      <c r="U21" s="2"/>
      <c r="V21" s="23"/>
      <c r="W21" s="2"/>
      <c r="X21" s="2">
        <f t="shared" si="2"/>
        <v>82067.38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--1759.83</f>
        <v>1759.83</v>
      </c>
      <c r="E22" s="2"/>
      <c r="F22" s="23"/>
      <c r="G22" s="2"/>
      <c r="H22" s="2"/>
      <c r="I22" s="2"/>
      <c r="J22" s="23"/>
      <c r="K22" s="2"/>
      <c r="L22" s="2">
        <f t="shared" si="0"/>
        <v>1759.83</v>
      </c>
      <c r="M22" s="2"/>
      <c r="N22" s="23">
        <f t="shared" si="1"/>
        <v>0</v>
      </c>
      <c r="O22" s="11"/>
      <c r="P22" s="2">
        <f>--3119.68</f>
        <v>3119.68</v>
      </c>
      <c r="Q22" s="2"/>
      <c r="R22" s="23"/>
      <c r="S22" s="2"/>
      <c r="T22" s="2"/>
      <c r="U22" s="2"/>
      <c r="V22" s="23"/>
      <c r="W22" s="2"/>
      <c r="X22" s="2">
        <f t="shared" si="2"/>
        <v>3119.68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--4610.75</f>
        <v>4610.75</v>
      </c>
      <c r="E23" s="2"/>
      <c r="F23" s="23"/>
      <c r="G23" s="2"/>
      <c r="H23" s="2"/>
      <c r="I23" s="2"/>
      <c r="J23" s="23"/>
      <c r="K23" s="2"/>
      <c r="L23" s="2">
        <f t="shared" si="0"/>
        <v>4610.75</v>
      </c>
      <c r="M23" s="2"/>
      <c r="N23" s="23">
        <f t="shared" si="1"/>
        <v>0</v>
      </c>
      <c r="O23" s="11"/>
      <c r="P23" s="2">
        <f>--10798.49</f>
        <v>10798.49</v>
      </c>
      <c r="Q23" s="2"/>
      <c r="R23" s="23"/>
      <c r="S23" s="2"/>
      <c r="T23" s="2"/>
      <c r="U23" s="2"/>
      <c r="V23" s="23"/>
      <c r="W23" s="2"/>
      <c r="X23" s="2">
        <f t="shared" si="2"/>
        <v>10798.49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--257.95</f>
        <v>257.95</v>
      </c>
      <c r="E24" s="2"/>
      <c r="F24" s="23"/>
      <c r="G24" s="2"/>
      <c r="H24" s="2"/>
      <c r="I24" s="2"/>
      <c r="J24" s="23"/>
      <c r="K24" s="2"/>
      <c r="L24" s="2">
        <f t="shared" si="0"/>
        <v>257.95</v>
      </c>
      <c r="M24" s="2"/>
      <c r="N24" s="23">
        <f t="shared" si="1"/>
        <v>0</v>
      </c>
      <c r="O24" s="11"/>
      <c r="P24" s="2">
        <f>--412.9</f>
        <v>412.9</v>
      </c>
      <c r="Q24" s="2"/>
      <c r="R24" s="23"/>
      <c r="S24" s="2"/>
      <c r="T24" s="2"/>
      <c r="U24" s="2"/>
      <c r="V24" s="23"/>
      <c r="W24" s="2"/>
      <c r="X24" s="2">
        <f t="shared" si="2"/>
        <v>412.9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-7424.23</f>
        <v>-7424.23</v>
      </c>
      <c r="E25" s="2"/>
      <c r="F25" s="23"/>
      <c r="G25" s="2"/>
      <c r="H25" s="2"/>
      <c r="I25" s="2"/>
      <c r="J25" s="23"/>
      <c r="K25" s="2"/>
      <c r="L25" s="2">
        <f t="shared" si="0"/>
        <v>-7424.23</v>
      </c>
      <c r="M25" s="2"/>
      <c r="N25" s="23">
        <f t="shared" si="1"/>
        <v>0</v>
      </c>
      <c r="O25" s="11"/>
      <c r="P25" s="2">
        <f>-13716.22</f>
        <v>-13716.22</v>
      </c>
      <c r="Q25" s="2"/>
      <c r="R25" s="23"/>
      <c r="S25" s="2"/>
      <c r="T25" s="2"/>
      <c r="U25" s="2"/>
      <c r="V25" s="23"/>
      <c r="W25" s="2"/>
      <c r="X25" s="2">
        <f t="shared" si="2"/>
        <v>-13716.22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-15442</f>
        <v>-15442</v>
      </c>
      <c r="E26" s="2"/>
      <c r="F26" s="23"/>
      <c r="G26" s="2"/>
      <c r="H26" s="2"/>
      <c r="I26" s="2"/>
      <c r="J26" s="23"/>
      <c r="K26" s="2"/>
      <c r="L26" s="2">
        <f t="shared" si="0"/>
        <v>-15442</v>
      </c>
      <c r="M26" s="2"/>
      <c r="N26" s="23">
        <f t="shared" si="1"/>
        <v>0</v>
      </c>
      <c r="O26" s="11"/>
      <c r="P26" s="2">
        <f>-33649</f>
        <v>-33649</v>
      </c>
      <c r="Q26" s="2"/>
      <c r="R26" s="23"/>
      <c r="S26" s="2"/>
      <c r="T26" s="2"/>
      <c r="U26" s="2"/>
      <c r="V26" s="23"/>
      <c r="W26" s="2"/>
      <c r="X26" s="2">
        <f t="shared" si="2"/>
        <v>-33649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-699.9</f>
        <v>-699.9</v>
      </c>
      <c r="E27" s="2"/>
      <c r="F27" s="23"/>
      <c r="G27" s="2"/>
      <c r="H27" s="2"/>
      <c r="I27" s="2"/>
      <c r="J27" s="23"/>
      <c r="K27" s="2"/>
      <c r="L27" s="2">
        <f t="shared" si="0"/>
        <v>-699.9</v>
      </c>
      <c r="M27" s="2"/>
      <c r="N27" s="23">
        <f t="shared" si="1"/>
        <v>0</v>
      </c>
      <c r="O27" s="11"/>
      <c r="P27" s="2">
        <f>-1518.83</f>
        <v>-1518.83</v>
      </c>
      <c r="Q27" s="2"/>
      <c r="R27" s="23"/>
      <c r="S27" s="2"/>
      <c r="T27" s="2"/>
      <c r="U27" s="2"/>
      <c r="V27" s="23"/>
      <c r="W27" s="2"/>
      <c r="X27" s="2">
        <f t="shared" si="2"/>
        <v>-1518.83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"4286", " - ", "SALES RETURN TAXABLE-COMPUTER")</f>
        <v xml:space="preserve">          4286 - SALES RETURN TAXABLE-COMPUTER</v>
      </c>
      <c r="C28" s="11"/>
      <c r="D28" s="2">
        <f>-153.96</f>
        <v>-153.96</v>
      </c>
      <c r="E28" s="2"/>
      <c r="F28" s="23"/>
      <c r="G28" s="2"/>
      <c r="H28" s="2"/>
      <c r="I28" s="2"/>
      <c r="J28" s="23"/>
      <c r="K28" s="2"/>
      <c r="L28" s="2">
        <f t="shared" si="0"/>
        <v>-153.96</v>
      </c>
      <c r="M28" s="2"/>
      <c r="N28" s="23">
        <f t="shared" si="1"/>
        <v>0</v>
      </c>
      <c r="O28" s="11"/>
      <c r="P28" s="2">
        <f>-153.96</f>
        <v>-153.96</v>
      </c>
      <c r="Q28" s="2"/>
      <c r="R28" s="23"/>
      <c r="S28" s="2"/>
      <c r="T28" s="2"/>
      <c r="U28" s="2"/>
      <c r="V28" s="23"/>
      <c r="W28" s="2"/>
      <c r="X28" s="2">
        <f t="shared" si="2"/>
        <v>-153.96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"4381", " - ", "SALES RETURN NON TAXABLE-ELECT")</f>
        <v xml:space="preserve">          4381 - SALES RETURN NON TAXABLE-ELECT</v>
      </c>
      <c r="C29" s="11"/>
      <c r="D29" s="2">
        <f>-3625.2</f>
        <v>-3625.2</v>
      </c>
      <c r="E29" s="2"/>
      <c r="F29" s="23"/>
      <c r="G29" s="2"/>
      <c r="H29" s="2"/>
      <c r="I29" s="2"/>
      <c r="J29" s="23"/>
      <c r="K29" s="2"/>
      <c r="L29" s="2">
        <f t="shared" si="0"/>
        <v>-3625.2</v>
      </c>
      <c r="M29" s="2"/>
      <c r="N29" s="23">
        <f t="shared" si="1"/>
        <v>0</v>
      </c>
      <c r="O29" s="11"/>
      <c r="P29" s="2">
        <f>-5374.2</f>
        <v>-5374.2</v>
      </c>
      <c r="Q29" s="2"/>
      <c r="R29" s="23"/>
      <c r="S29" s="2"/>
      <c r="T29" s="2"/>
      <c r="U29" s="2"/>
      <c r="V29" s="23"/>
      <c r="W29" s="2"/>
      <c r="X29" s="2">
        <f t="shared" si="2"/>
        <v>-5374.2</v>
      </c>
      <c r="Y29" s="2"/>
      <c r="Z29" s="23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collapsed="1" x14ac:dyDescent="0.25">
      <c r="A31" s="10"/>
      <c r="B31" s="25" t="s">
        <v>8</v>
      </c>
      <c r="C31" s="10"/>
      <c r="D31" s="4">
        <f>SUM(OSRRefD16x_0)</f>
        <v>478464</v>
      </c>
      <c r="E31" s="4"/>
      <c r="F31" s="12">
        <f t="shared" ref="F31:F41" si="4">IF(D$12=0,0,D31/D$12)</f>
        <v>0.97313830432017234</v>
      </c>
      <c r="G31" s="4"/>
      <c r="H31" s="4">
        <f>SUM(OSRRefH16x_0)</f>
        <v>352498</v>
      </c>
      <c r="I31" s="4"/>
      <c r="J31" s="12">
        <f t="shared" ref="J31:J41" si="5">IF(H$12=0,0,H31/H$12)</f>
        <v>0.78096343741068719</v>
      </c>
      <c r="K31" s="4"/>
      <c r="L31" s="4">
        <f t="shared" ref="L31:L41" si="6">+D31-H31</f>
        <v>125966</v>
      </c>
      <c r="M31" s="4"/>
      <c r="N31" s="12">
        <f t="shared" ref="N31:N41" si="7">IF(H31=0,0,L31/H31)</f>
        <v>0.35735238214117526</v>
      </c>
      <c r="O31" s="10"/>
      <c r="P31" s="4">
        <f>SUM(OSRRefP16x_0)</f>
        <v>662420</v>
      </c>
      <c r="Q31" s="4"/>
      <c r="R31" s="12">
        <f t="shared" ref="R31:R41" si="8">IF(P$12=0,0,P31/P$12)</f>
        <v>0.94680366147536887</v>
      </c>
      <c r="S31" s="4"/>
      <c r="T31" s="4">
        <f>SUM(OSRRefT16x_0)</f>
        <v>612796</v>
      </c>
      <c r="U31" s="4"/>
      <c r="V31" s="12">
        <f t="shared" ref="V31:V41" si="9">IF(T$12=0,0,T31/T$12)</f>
        <v>0.78096313468006173</v>
      </c>
      <c r="W31" s="4"/>
      <c r="X31" s="4">
        <f t="shared" ref="X31:X41" si="10">+P31-T31</f>
        <v>49624</v>
      </c>
      <c r="Y31" s="4"/>
      <c r="Z31" s="12">
        <f t="shared" ref="Z31:Z41" si="11">IF(T31=0,0,X31/T31)</f>
        <v>8.0979640859274532E-2</v>
      </c>
    </row>
    <row r="32" spans="1:26" s="24" customFormat="1" hidden="1" outlineLevel="1" x14ac:dyDescent="0.25">
      <c r="A32" s="51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23">
        <f t="shared" si="4"/>
        <v>0</v>
      </c>
      <c r="G32" s="2"/>
      <c r="H32" s="2">
        <v>352498</v>
      </c>
      <c r="I32" s="2"/>
      <c r="J32" s="23">
        <f t="shared" si="5"/>
        <v>0.78096343741068719</v>
      </c>
      <c r="K32" s="2"/>
      <c r="L32" s="2">
        <f t="shared" si="6"/>
        <v>-352498</v>
      </c>
      <c r="M32" s="2"/>
      <c r="N32" s="23">
        <f t="shared" si="7"/>
        <v>-1</v>
      </c>
      <c r="O32" s="11"/>
      <c r="P32" s="2"/>
      <c r="Q32" s="2"/>
      <c r="R32" s="23">
        <f t="shared" si="8"/>
        <v>0</v>
      </c>
      <c r="S32" s="2"/>
      <c r="T32" s="2">
        <v>612796</v>
      </c>
      <c r="U32" s="2"/>
      <c r="V32" s="23">
        <f t="shared" si="9"/>
        <v>0.78096313468006173</v>
      </c>
      <c r="W32" s="2"/>
      <c r="X32" s="2">
        <f t="shared" si="10"/>
        <v>-612796</v>
      </c>
      <c r="Y32" s="2"/>
      <c r="Z32" s="23">
        <f t="shared" si="11"/>
        <v>-1</v>
      </c>
    </row>
    <row r="33" spans="1:26" s="24" customFormat="1" hidden="1" outlineLevel="1" x14ac:dyDescent="0.25">
      <c r="A33" s="51"/>
      <c r="B33" s="11" t="str">
        <f>CONCATENATE("          ", "5081", " - ", "PURCHASES @ COST-ELECTRONICS")</f>
        <v xml:space="preserve">          5081 - PURCHASES @ COST-ELECTRONICS</v>
      </c>
      <c r="C33" s="11"/>
      <c r="D33" s="2">
        <v>745.55</v>
      </c>
      <c r="E33" s="2"/>
      <c r="F33" s="23">
        <f t="shared" si="4"/>
        <v>1.5163591467402028E-3</v>
      </c>
      <c r="G33" s="2"/>
      <c r="H33" s="2"/>
      <c r="I33" s="2"/>
      <c r="J33" s="23">
        <f t="shared" si="5"/>
        <v>0</v>
      </c>
      <c r="K33" s="2"/>
      <c r="L33" s="2">
        <f t="shared" si="6"/>
        <v>745.55</v>
      </c>
      <c r="M33" s="2"/>
      <c r="N33" s="23">
        <f t="shared" si="7"/>
        <v>0</v>
      </c>
      <c r="O33" s="11"/>
      <c r="P33" s="2">
        <v>7422.47</v>
      </c>
      <c r="Q33" s="2"/>
      <c r="R33" s="23">
        <f t="shared" si="8"/>
        <v>1.0609012066651191E-2</v>
      </c>
      <c r="S33" s="2"/>
      <c r="T33" s="2"/>
      <c r="U33" s="2"/>
      <c r="V33" s="23">
        <f t="shared" si="9"/>
        <v>0</v>
      </c>
      <c r="W33" s="2"/>
      <c r="X33" s="2">
        <f t="shared" si="10"/>
        <v>7422.47</v>
      </c>
      <c r="Y33" s="2"/>
      <c r="Z33" s="23">
        <f t="shared" si="11"/>
        <v>0</v>
      </c>
    </row>
    <row r="34" spans="1:26" s="24" customFormat="1" hidden="1" outlineLevel="1" x14ac:dyDescent="0.25">
      <c r="A34" s="51"/>
      <c r="B34" s="11" t="str">
        <f>CONCATENATE("          ", "5082", " - ", "PURCHASES @ COST-COMPUTER HARD")</f>
        <v xml:space="preserve">          5082 - PURCHASES @ COST-COMPUTER HARD</v>
      </c>
      <c r="C34" s="11"/>
      <c r="D34" s="2">
        <v>56751.23</v>
      </c>
      <c r="E34" s="2"/>
      <c r="F34" s="23">
        <f t="shared" si="4"/>
        <v>0.11542518503018846</v>
      </c>
      <c r="G34" s="2"/>
      <c r="H34" s="2"/>
      <c r="I34" s="2"/>
      <c r="J34" s="23">
        <f t="shared" si="5"/>
        <v>0</v>
      </c>
      <c r="K34" s="2"/>
      <c r="L34" s="2">
        <f t="shared" si="6"/>
        <v>56751.23</v>
      </c>
      <c r="M34" s="2"/>
      <c r="N34" s="23">
        <f t="shared" si="7"/>
        <v>0</v>
      </c>
      <c r="O34" s="11"/>
      <c r="P34" s="2">
        <v>243223.8</v>
      </c>
      <c r="Q34" s="2"/>
      <c r="R34" s="23">
        <f t="shared" si="8"/>
        <v>0.34764225777898133</v>
      </c>
      <c r="S34" s="2"/>
      <c r="T34" s="2"/>
      <c r="U34" s="2"/>
      <c r="V34" s="23">
        <f t="shared" si="9"/>
        <v>0</v>
      </c>
      <c r="W34" s="2"/>
      <c r="X34" s="2">
        <f t="shared" si="10"/>
        <v>243223.8</v>
      </c>
      <c r="Y34" s="2"/>
      <c r="Z34" s="23">
        <f t="shared" si="11"/>
        <v>0</v>
      </c>
    </row>
    <row r="35" spans="1:26" s="24" customFormat="1" hidden="1" outlineLevel="1" x14ac:dyDescent="0.25">
      <c r="A35" s="51"/>
      <c r="B35" s="11" t="str">
        <f>CONCATENATE("          ", "5083", " - ", "PURCHASES @ COST-COMPUTER EQUI")</f>
        <v xml:space="preserve">          5083 - PURCHASES @ COST-COMPUTER EQUI</v>
      </c>
      <c r="C35" s="11"/>
      <c r="D35" s="2">
        <v>7340.55</v>
      </c>
      <c r="E35" s="2"/>
      <c r="F35" s="23">
        <f t="shared" si="4"/>
        <v>1.4929796974855873E-2</v>
      </c>
      <c r="G35" s="2"/>
      <c r="H35" s="2"/>
      <c r="I35" s="2"/>
      <c r="J35" s="23">
        <f t="shared" si="5"/>
        <v>0</v>
      </c>
      <c r="K35" s="2"/>
      <c r="L35" s="2">
        <f t="shared" si="6"/>
        <v>7340.55</v>
      </c>
      <c r="M35" s="2"/>
      <c r="N35" s="23">
        <f t="shared" si="7"/>
        <v>0</v>
      </c>
      <c r="O35" s="11"/>
      <c r="P35" s="2">
        <v>37278.85</v>
      </c>
      <c r="Q35" s="2"/>
      <c r="R35" s="23">
        <f t="shared" si="8"/>
        <v>5.328304048125216E-2</v>
      </c>
      <c r="S35" s="2"/>
      <c r="T35" s="2"/>
      <c r="U35" s="2"/>
      <c r="V35" s="23">
        <f t="shared" si="9"/>
        <v>0</v>
      </c>
      <c r="W35" s="2"/>
      <c r="X35" s="2">
        <f t="shared" si="10"/>
        <v>37278.85</v>
      </c>
      <c r="Y35" s="2"/>
      <c r="Z35" s="23">
        <f t="shared" si="11"/>
        <v>0</v>
      </c>
    </row>
    <row r="36" spans="1:26" s="24" customFormat="1" hidden="1" outlineLevel="1" x14ac:dyDescent="0.25">
      <c r="A36" s="51"/>
      <c r="B36" s="11" t="str">
        <f>CONCATENATE("          ", "5085", " - ", "PURCHASES @ COST-SOFTWARE")</f>
        <v xml:space="preserve">          5085 - PURCHASES @ COST-SOFTWARE</v>
      </c>
      <c r="C36" s="11"/>
      <c r="D36" s="2">
        <v>2364.2199999999998</v>
      </c>
      <c r="E36" s="2"/>
      <c r="F36" s="23">
        <f t="shared" si="4"/>
        <v>4.8085394968897088E-3</v>
      </c>
      <c r="G36" s="2"/>
      <c r="H36" s="2"/>
      <c r="I36" s="2"/>
      <c r="J36" s="23">
        <f t="shared" si="5"/>
        <v>0</v>
      </c>
      <c r="K36" s="2"/>
      <c r="L36" s="2">
        <f t="shared" si="6"/>
        <v>2364.2199999999998</v>
      </c>
      <c r="M36" s="2"/>
      <c r="N36" s="23">
        <f t="shared" si="7"/>
        <v>0</v>
      </c>
      <c r="O36" s="11"/>
      <c r="P36" s="2">
        <v>6228.56</v>
      </c>
      <c r="Q36" s="2"/>
      <c r="R36" s="23">
        <f t="shared" si="8"/>
        <v>8.9025443279475616E-3</v>
      </c>
      <c r="S36" s="2"/>
      <c r="T36" s="2"/>
      <c r="U36" s="2"/>
      <c r="V36" s="23">
        <f t="shared" si="9"/>
        <v>0</v>
      </c>
      <c r="W36" s="2"/>
      <c r="X36" s="2">
        <f t="shared" si="10"/>
        <v>6228.56</v>
      </c>
      <c r="Y36" s="2"/>
      <c r="Z36" s="23">
        <f t="shared" si="11"/>
        <v>0</v>
      </c>
    </row>
    <row r="37" spans="1:26" s="24" customFormat="1" hidden="1" outlineLevel="1" x14ac:dyDescent="0.25">
      <c r="A37" s="51"/>
      <c r="B37" s="11" t="str">
        <f>CONCATENATE("          ", "5086", " - ", "PURCHASES @ COST-COMPUTER SUPP")</f>
        <v xml:space="preserve">          5086 - PURCHASES @ COST-COMPUTER SUPP</v>
      </c>
      <c r="C37" s="11"/>
      <c r="D37" s="2">
        <v>21649.96</v>
      </c>
      <c r="E37" s="2"/>
      <c r="F37" s="23">
        <f t="shared" si="4"/>
        <v>4.4033418110870526E-2</v>
      </c>
      <c r="G37" s="2"/>
      <c r="H37" s="2"/>
      <c r="I37" s="2"/>
      <c r="J37" s="23">
        <f t="shared" si="5"/>
        <v>0</v>
      </c>
      <c r="K37" s="2"/>
      <c r="L37" s="2">
        <f t="shared" si="6"/>
        <v>21649.96</v>
      </c>
      <c r="M37" s="2"/>
      <c r="N37" s="23">
        <f t="shared" si="7"/>
        <v>0</v>
      </c>
      <c r="O37" s="11"/>
      <c r="P37" s="2">
        <v>21737.21</v>
      </c>
      <c r="Q37" s="2"/>
      <c r="R37" s="23">
        <f t="shared" si="8"/>
        <v>3.1069215932880957E-2</v>
      </c>
      <c r="S37" s="2"/>
      <c r="T37" s="2"/>
      <c r="U37" s="2"/>
      <c r="V37" s="23">
        <f t="shared" si="9"/>
        <v>0</v>
      </c>
      <c r="W37" s="2"/>
      <c r="X37" s="2">
        <f t="shared" si="10"/>
        <v>21737.21</v>
      </c>
      <c r="Y37" s="2"/>
      <c r="Z37" s="23">
        <f t="shared" si="11"/>
        <v>0</v>
      </c>
    </row>
    <row r="38" spans="1:26" s="24" customFormat="1" hidden="1" outlineLevel="1" x14ac:dyDescent="0.25">
      <c r="A38" s="51"/>
      <c r="B38" s="11" t="str">
        <f>CONCATENATE("          ", "5200", " - ", "PURCHASES OFFSET")</f>
        <v xml:space="preserve">          5200 - PURCHASES OFFSET</v>
      </c>
      <c r="C38" s="11"/>
      <c r="D38" s="2">
        <v>-88875.62999999999</v>
      </c>
      <c r="E38" s="2"/>
      <c r="F38" s="23">
        <f t="shared" si="4"/>
        <v>-0.18076235594232173</v>
      </c>
      <c r="G38" s="2"/>
      <c r="H38" s="2"/>
      <c r="I38" s="2"/>
      <c r="J38" s="23">
        <f t="shared" si="5"/>
        <v>0</v>
      </c>
      <c r="K38" s="2"/>
      <c r="L38" s="2">
        <f t="shared" si="6"/>
        <v>-88875.62999999999</v>
      </c>
      <c r="M38" s="2"/>
      <c r="N38" s="23">
        <f t="shared" si="7"/>
        <v>0</v>
      </c>
      <c r="O38" s="11"/>
      <c r="P38" s="2">
        <v>-315932.40000000002</v>
      </c>
      <c r="Q38" s="2"/>
      <c r="R38" s="23">
        <f t="shared" si="8"/>
        <v>-0.45156540125403954</v>
      </c>
      <c r="S38" s="2"/>
      <c r="T38" s="2"/>
      <c r="U38" s="2"/>
      <c r="V38" s="23">
        <f t="shared" si="9"/>
        <v>0</v>
      </c>
      <c r="W38" s="2"/>
      <c r="X38" s="2">
        <f t="shared" si="10"/>
        <v>-315932.40000000002</v>
      </c>
      <c r="Y38" s="2"/>
      <c r="Z38" s="23">
        <f t="shared" si="11"/>
        <v>0</v>
      </c>
    </row>
    <row r="39" spans="1:26" s="24" customFormat="1" hidden="1" outlineLevel="1" x14ac:dyDescent="0.25">
      <c r="A39" s="51"/>
      <c r="B39" s="11" t="str">
        <f>CONCATENATE("          ", "5300", " - ", "COG$ OFFSET")</f>
        <v xml:space="preserve">          5300 - COG$ OFFSET</v>
      </c>
      <c r="C39" s="11"/>
      <c r="D39" s="2">
        <v>478464</v>
      </c>
      <c r="E39" s="2"/>
      <c r="F39" s="23">
        <f t="shared" si="4"/>
        <v>0.97313830432017234</v>
      </c>
      <c r="G39" s="2"/>
      <c r="H39" s="2"/>
      <c r="I39" s="2"/>
      <c r="J39" s="23">
        <f t="shared" si="5"/>
        <v>0</v>
      </c>
      <c r="K39" s="2"/>
      <c r="L39" s="2">
        <f t="shared" si="6"/>
        <v>478464</v>
      </c>
      <c r="M39" s="2"/>
      <c r="N39" s="23">
        <f t="shared" si="7"/>
        <v>0</v>
      </c>
      <c r="O39" s="11"/>
      <c r="P39" s="2">
        <v>662420</v>
      </c>
      <c r="Q39" s="2"/>
      <c r="R39" s="23">
        <f t="shared" si="8"/>
        <v>0.94680366147536887</v>
      </c>
      <c r="S39" s="2"/>
      <c r="T39" s="2"/>
      <c r="U39" s="2"/>
      <c r="V39" s="23">
        <f t="shared" si="9"/>
        <v>0</v>
      </c>
      <c r="W39" s="2"/>
      <c r="X39" s="2">
        <f t="shared" si="10"/>
        <v>662420</v>
      </c>
      <c r="Y39" s="2"/>
      <c r="Z39" s="23">
        <f t="shared" si="11"/>
        <v>0</v>
      </c>
    </row>
    <row r="40" spans="1:26" s="24" customFormat="1" hidden="1" outlineLevel="1" x14ac:dyDescent="0.25">
      <c r="A40" s="51"/>
      <c r="B40" s="11" t="str">
        <f>CONCATENATE("          ", "5583", " - ", "FREIGHT-IN-COMPUTER EQUIPMENT")</f>
        <v xml:space="preserve">          5583 - FREIGHT-IN-COMPUTER EQUIPMENT</v>
      </c>
      <c r="C40" s="11"/>
      <c r="D40" s="2"/>
      <c r="E40" s="2"/>
      <c r="F40" s="23">
        <f t="shared" si="4"/>
        <v>0</v>
      </c>
      <c r="G40" s="2"/>
      <c r="H40" s="2"/>
      <c r="I40" s="2"/>
      <c r="J40" s="23">
        <f t="shared" si="5"/>
        <v>0</v>
      </c>
      <c r="K40" s="2"/>
      <c r="L40" s="2">
        <f t="shared" si="6"/>
        <v>0</v>
      </c>
      <c r="M40" s="2"/>
      <c r="N40" s="23">
        <f t="shared" si="7"/>
        <v>0</v>
      </c>
      <c r="O40" s="11"/>
      <c r="P40" s="2">
        <v>17.39</v>
      </c>
      <c r="Q40" s="2"/>
      <c r="R40" s="23">
        <f t="shared" si="8"/>
        <v>2.4855704346270742E-5</v>
      </c>
      <c r="S40" s="2"/>
      <c r="T40" s="2"/>
      <c r="U40" s="2"/>
      <c r="V40" s="23">
        <f t="shared" si="9"/>
        <v>0</v>
      </c>
      <c r="W40" s="2"/>
      <c r="X40" s="2">
        <f t="shared" si="10"/>
        <v>17.39</v>
      </c>
      <c r="Y40" s="2"/>
      <c r="Z40" s="23">
        <f t="shared" si="11"/>
        <v>0</v>
      </c>
    </row>
    <row r="41" spans="1:26" s="24" customFormat="1" hidden="1" outlineLevel="1" x14ac:dyDescent="0.25">
      <c r="A41" s="51"/>
      <c r="B41" s="11" t="str">
        <f>CONCATENATE("          ", "5586", " - ", "FREIGHT-IN-COMPUTER SUPPLIES")</f>
        <v xml:space="preserve">          5586 - FREIGHT-IN-COMPUTER SUPPLIES</v>
      </c>
      <c r="C41" s="11"/>
      <c r="D41" s="2">
        <v>24.12</v>
      </c>
      <c r="E41" s="2"/>
      <c r="F41" s="23">
        <f t="shared" si="4"/>
        <v>4.905718277697498E-5</v>
      </c>
      <c r="G41" s="2"/>
      <c r="H41" s="2"/>
      <c r="I41" s="2"/>
      <c r="J41" s="23">
        <f t="shared" si="5"/>
        <v>0</v>
      </c>
      <c r="K41" s="2"/>
      <c r="L41" s="2">
        <f t="shared" si="6"/>
        <v>24.12</v>
      </c>
      <c r="M41" s="2"/>
      <c r="N41" s="23">
        <f t="shared" si="7"/>
        <v>0</v>
      </c>
      <c r="O41" s="11"/>
      <c r="P41" s="2">
        <v>24.12</v>
      </c>
      <c r="Q41" s="2"/>
      <c r="R41" s="23">
        <f t="shared" si="8"/>
        <v>3.4474961979991395E-5</v>
      </c>
      <c r="S41" s="2"/>
      <c r="T41" s="2"/>
      <c r="U41" s="2"/>
      <c r="V41" s="23">
        <f t="shared" si="9"/>
        <v>0</v>
      </c>
      <c r="W41" s="2"/>
      <c r="X41" s="2">
        <f t="shared" si="10"/>
        <v>24.12</v>
      </c>
      <c r="Y41" s="2"/>
      <c r="Z41" s="23">
        <f t="shared" si="11"/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2" customFormat="1" x14ac:dyDescent="0.25">
      <c r="A43" s="10"/>
      <c r="B43" s="26" t="s">
        <v>6</v>
      </c>
      <c r="C43" s="26"/>
      <c r="D43" s="21">
        <f>D12-D31</f>
        <v>13207.120000000054</v>
      </c>
      <c r="E43" s="13"/>
      <c r="F43" s="20">
        <f>IF(D$12=0,0,D43/D$12)</f>
        <v>2.6861695679827709E-2</v>
      </c>
      <c r="G43" s="13"/>
      <c r="H43" s="21">
        <f>H12-H31</f>
        <v>98865</v>
      </c>
      <c r="I43" s="13"/>
      <c r="J43" s="20">
        <f>IF(H$12=0,0,H43/H$12)</f>
        <v>0.21903656258931281</v>
      </c>
      <c r="K43" s="16"/>
      <c r="L43" s="21">
        <f>+D43-H43</f>
        <v>-85657.879999999946</v>
      </c>
      <c r="M43" s="16"/>
      <c r="N43" s="20">
        <f>IF(H43=0,0,L43/H43)</f>
        <v>-0.86641258281494915</v>
      </c>
      <c r="O43" s="25"/>
      <c r="P43" s="21">
        <f>P12-P31</f>
        <v>37218.190000000177</v>
      </c>
      <c r="Q43" s="13"/>
      <c r="R43" s="20">
        <f>IF(P$12=0,0,P43/P$12)</f>
        <v>5.3196338524631091E-2</v>
      </c>
      <c r="S43" s="13"/>
      <c r="T43" s="21">
        <f>T12-T31</f>
        <v>171871</v>
      </c>
      <c r="U43" s="13"/>
      <c r="V43" s="20">
        <f>IF(T$12=0,0,T43/T$12)</f>
        <v>0.21903686531993827</v>
      </c>
      <c r="W43" s="16"/>
      <c r="X43" s="21">
        <f>+P43-T43</f>
        <v>-134652.80999999982</v>
      </c>
      <c r="Y43" s="16"/>
      <c r="Z43" s="20">
        <f>IF(T43=0,0,X43/T43)</f>
        <v>-0.78345276399159736</v>
      </c>
    </row>
    <row r="44" spans="1:26" x14ac:dyDescent="0.25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6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2" customFormat="1" x14ac:dyDescent="0.25">
      <c r="A45" s="10"/>
      <c r="B45" s="25" t="s">
        <v>9</v>
      </c>
      <c r="C45" s="10"/>
      <c r="D45" s="19">
        <f>SUM(OSRRefD22x_0)</f>
        <v>15135.81</v>
      </c>
      <c r="E45" s="19"/>
      <c r="F45" s="30">
        <f t="shared" ref="F45:F56" si="12">IF(D$12=0,0,D45/D$12)</f>
        <v>3.0784419471292106E-2</v>
      </c>
      <c r="G45" s="19"/>
      <c r="H45" s="19">
        <f>SUM(OSRRefH22x_0)</f>
        <v>20846.262082846151</v>
      </c>
      <c r="I45" s="19"/>
      <c r="J45" s="30">
        <f t="shared" ref="J45:J56" si="13">IF(H$12=0,0,H45/H$12)</f>
        <v>4.6185137201866684E-2</v>
      </c>
      <c r="K45" s="4"/>
      <c r="L45" s="19">
        <f t="shared" ref="L45:L56" si="14">+D45-H45</f>
        <v>-5710.4520828461518</v>
      </c>
      <c r="M45" s="4"/>
      <c r="N45" s="30">
        <f t="shared" ref="N45:N56" si="15">IF(H45=0,0,L45/H45)</f>
        <v>-0.27393170344649626</v>
      </c>
      <c r="O45" s="10"/>
      <c r="P45" s="19">
        <f>SUM(OSRRefP22x_0)</f>
        <v>26915.47</v>
      </c>
      <c r="Q45" s="19"/>
      <c r="R45" s="30">
        <f t="shared" ref="R45:R56" si="16">IF(P$12=0,0,P45/P$12)</f>
        <v>3.8470555759684867E-2</v>
      </c>
      <c r="S45" s="19"/>
      <c r="T45" s="19">
        <f>SUM(OSRRefT22x_0)</f>
        <v>39989.97635140385</v>
      </c>
      <c r="U45" s="19"/>
      <c r="V45" s="30">
        <f t="shared" ref="V45:V56" si="17">IF(T$12=0,0,T45/T$12)</f>
        <v>5.0964264269306406E-2</v>
      </c>
      <c r="W45" s="4"/>
      <c r="X45" s="19">
        <f t="shared" ref="X45:X56" si="18">+P45-T45</f>
        <v>-13074.506351403848</v>
      </c>
      <c r="Y45" s="4"/>
      <c r="Z45" s="30">
        <f t="shared" ref="Z45:Z56" si="19">IF(T45=0,0,X45/T45)</f>
        <v>-0.32694458822666617</v>
      </c>
    </row>
    <row r="46" spans="1:26" s="29" customFormat="1" outlineLevel="1" collapsed="1" x14ac:dyDescent="0.25">
      <c r="A46" s="28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2843.1500000000005</v>
      </c>
      <c r="E46" s="1"/>
      <c r="F46" s="5">
        <f t="shared" si="12"/>
        <v>5.7826255892353415E-3</v>
      </c>
      <c r="G46" s="1"/>
      <c r="H46" s="1">
        <f>SUM(OSRRefH22_0x_0)</f>
        <v>2614.1370828461536</v>
      </c>
      <c r="I46" s="1"/>
      <c r="J46" s="5">
        <f t="shared" si="13"/>
        <v>5.7916512493185164E-3</v>
      </c>
      <c r="K46" s="1"/>
      <c r="L46" s="1">
        <f t="shared" si="14"/>
        <v>229.01291715384696</v>
      </c>
      <c r="M46" s="1"/>
      <c r="N46" s="5">
        <f t="shared" si="15"/>
        <v>8.7605550090168988E-2</v>
      </c>
      <c r="O46" s="14"/>
      <c r="P46" s="1">
        <f>SUM(OSRRefP22_0x_0)</f>
        <v>5571.5200000000013</v>
      </c>
      <c r="Q46" s="1"/>
      <c r="R46" s="5">
        <f t="shared" si="16"/>
        <v>7.963430355338379E-3</v>
      </c>
      <c r="S46" s="1"/>
      <c r="T46" s="1">
        <f>SUM(OSRRefT22_0x_0)</f>
        <v>5460.8101014038439</v>
      </c>
      <c r="U46" s="1"/>
      <c r="V46" s="5">
        <f t="shared" si="17"/>
        <v>6.9593981923591073E-3</v>
      </c>
      <c r="W46" s="1"/>
      <c r="X46" s="1">
        <f t="shared" si="18"/>
        <v>110.70989859615747</v>
      </c>
      <c r="Y46" s="1"/>
      <c r="Z46" s="5">
        <f t="shared" si="19"/>
        <v>2.0273530216276262E-2</v>
      </c>
    </row>
    <row r="47" spans="1:26" s="24" customFormat="1" hidden="1" outlineLevel="2" x14ac:dyDescent="0.25">
      <c r="A47" s="27"/>
      <c r="B47" s="11" t="str">
        <f>CONCATENATE("          ", "6111", " - ", "F.I.C.A.")</f>
        <v xml:space="preserve">          6111 - F.I.C.A.</v>
      </c>
      <c r="C47" s="11"/>
      <c r="D47" s="6">
        <v>618.58000000000004</v>
      </c>
      <c r="E47" s="2"/>
      <c r="F47" s="7">
        <f t="shared" si="12"/>
        <v>1.2581174180008783E-3</v>
      </c>
      <c r="G47" s="2"/>
      <c r="H47" s="6">
        <v>693.99699899999996</v>
      </c>
      <c r="I47" s="2"/>
      <c r="J47" s="7">
        <f t="shared" si="13"/>
        <v>1.5375584595990366E-3</v>
      </c>
      <c r="K47" s="2"/>
      <c r="L47" s="6">
        <f t="shared" si="14"/>
        <v>-75.416998999999919</v>
      </c>
      <c r="M47" s="2"/>
      <c r="N47" s="7">
        <f t="shared" si="15"/>
        <v>-0.10867049729130014</v>
      </c>
      <c r="O47" s="11"/>
      <c r="P47" s="6">
        <v>1038.3800000000001</v>
      </c>
      <c r="Q47" s="2"/>
      <c r="R47" s="7">
        <f t="shared" si="16"/>
        <v>1.484167123581404E-3</v>
      </c>
      <c r="S47" s="2"/>
      <c r="T47" s="6">
        <v>1385.12986275</v>
      </c>
      <c r="U47" s="2"/>
      <c r="V47" s="7">
        <f t="shared" si="17"/>
        <v>1.7652454643179846E-3</v>
      </c>
      <c r="W47" s="2"/>
      <c r="X47" s="6">
        <f t="shared" si="18"/>
        <v>-346.74986274999992</v>
      </c>
      <c r="Y47" s="2"/>
      <c r="Z47" s="7">
        <f t="shared" si="19"/>
        <v>-0.25033743916369833</v>
      </c>
    </row>
    <row r="48" spans="1:26" s="24" customFormat="1" hidden="1" outlineLevel="2" x14ac:dyDescent="0.25">
      <c r="A48" s="27"/>
      <c r="B48" s="11" t="str">
        <f>CONCATENATE("          ", "6112", " - ", "COMPENSATION INSURANCE")</f>
        <v xml:space="preserve">          6112 - COMPENSATION INSURANCE</v>
      </c>
      <c r="C48" s="11"/>
      <c r="D48" s="6">
        <v>90.86</v>
      </c>
      <c r="E48" s="2"/>
      <c r="F48" s="7">
        <f t="shared" si="12"/>
        <v>1.8479832616566941E-4</v>
      </c>
      <c r="G48" s="2"/>
      <c r="H48" s="6">
        <v>167.76355000000001</v>
      </c>
      <c r="I48" s="2"/>
      <c r="J48" s="7">
        <f t="shared" si="13"/>
        <v>3.7168210509058123E-4</v>
      </c>
      <c r="K48" s="2"/>
      <c r="L48" s="6">
        <f t="shared" si="14"/>
        <v>-76.90355000000001</v>
      </c>
      <c r="M48" s="2"/>
      <c r="N48" s="7">
        <f t="shared" si="15"/>
        <v>-0.4584044031018657</v>
      </c>
      <c r="O48" s="11"/>
      <c r="P48" s="6">
        <v>143.91</v>
      </c>
      <c r="Q48" s="2"/>
      <c r="R48" s="7">
        <f t="shared" si="16"/>
        <v>2.0569203061942626E-4</v>
      </c>
      <c r="S48" s="2"/>
      <c r="T48" s="6">
        <v>334.83473750000002</v>
      </c>
      <c r="U48" s="2"/>
      <c r="V48" s="7">
        <f t="shared" si="17"/>
        <v>4.2672208401780631E-4</v>
      </c>
      <c r="W48" s="2"/>
      <c r="X48" s="6">
        <f t="shared" si="18"/>
        <v>-190.92473750000002</v>
      </c>
      <c r="Y48" s="2"/>
      <c r="Z48" s="7">
        <f t="shared" si="19"/>
        <v>-0.5702058840295805</v>
      </c>
    </row>
    <row r="49" spans="1:26" s="24" customFormat="1" hidden="1" outlineLevel="2" x14ac:dyDescent="0.25">
      <c r="A49" s="27"/>
      <c r="B49" s="11" t="str">
        <f>CONCATENATE("          ", "6113", " - ", "GROUP INSURANCE")</f>
        <v xml:space="preserve">          6113 - GROUP INSURANCE</v>
      </c>
      <c r="C49" s="11"/>
      <c r="D49" s="6">
        <v>1035.69</v>
      </c>
      <c r="E49" s="2"/>
      <c r="F49" s="7">
        <f t="shared" si="12"/>
        <v>2.106469055981974E-3</v>
      </c>
      <c r="G49" s="2"/>
      <c r="H49" s="6">
        <v>946.34615384615404</v>
      </c>
      <c r="I49" s="2"/>
      <c r="J49" s="7">
        <f t="shared" si="13"/>
        <v>2.0966409604822596E-3</v>
      </c>
      <c r="K49" s="2"/>
      <c r="L49" s="6">
        <f t="shared" si="14"/>
        <v>89.343846153846016</v>
      </c>
      <c r="M49" s="2"/>
      <c r="N49" s="7">
        <f t="shared" si="15"/>
        <v>9.4409266409266238E-2</v>
      </c>
      <c r="O49" s="11"/>
      <c r="P49" s="6">
        <v>2071.38</v>
      </c>
      <c r="Q49" s="2"/>
      <c r="R49" s="7">
        <f t="shared" si="16"/>
        <v>2.9606445582966243E-3</v>
      </c>
      <c r="S49" s="2"/>
      <c r="T49" s="6">
        <v>2046.1538461538439</v>
      </c>
      <c r="U49" s="2"/>
      <c r="V49" s="7">
        <f t="shared" si="17"/>
        <v>2.6076715933687077E-3</v>
      </c>
      <c r="W49" s="2"/>
      <c r="X49" s="6">
        <f t="shared" si="18"/>
        <v>25.226153846156194</v>
      </c>
      <c r="Y49" s="2"/>
      <c r="Z49" s="7">
        <f t="shared" si="19"/>
        <v>1.2328571428572589E-2</v>
      </c>
    </row>
    <row r="50" spans="1:26" s="24" customFormat="1" hidden="1" outlineLevel="2" x14ac:dyDescent="0.25">
      <c r="A50" s="27"/>
      <c r="B50" s="11" t="str">
        <f>CONCATENATE("          ", "6114", " - ", "STATE UNEMPLOYMENT INSURANCE")</f>
        <v xml:space="preserve">          6114 - STATE UNEMPLOYMENT INSURANCE</v>
      </c>
      <c r="C50" s="11"/>
      <c r="D50" s="6">
        <v>20.47</v>
      </c>
      <c r="E50" s="2"/>
      <c r="F50" s="7">
        <f t="shared" si="12"/>
        <v>4.1633521204174037E-5</v>
      </c>
      <c r="G50" s="2"/>
      <c r="H50" s="6">
        <v>23.577580000000001</v>
      </c>
      <c r="I50" s="2"/>
      <c r="J50" s="7">
        <f t="shared" si="13"/>
        <v>5.2236403958676276E-5</v>
      </c>
      <c r="K50" s="2"/>
      <c r="L50" s="6">
        <f t="shared" si="14"/>
        <v>-3.1075800000000022</v>
      </c>
      <c r="M50" s="2"/>
      <c r="N50" s="7">
        <f t="shared" si="15"/>
        <v>-0.13180233085838336</v>
      </c>
      <c r="O50" s="11"/>
      <c r="P50" s="6">
        <v>34.93</v>
      </c>
      <c r="Q50" s="2"/>
      <c r="R50" s="7">
        <f t="shared" si="16"/>
        <v>4.9925805222267797E-5</v>
      </c>
      <c r="S50" s="2"/>
      <c r="T50" s="6">
        <v>47.057855000000004</v>
      </c>
      <c r="U50" s="2"/>
      <c r="V50" s="7">
        <f t="shared" si="17"/>
        <v>5.9971752348448452E-5</v>
      </c>
      <c r="W50" s="2"/>
      <c r="X50" s="6">
        <f t="shared" si="18"/>
        <v>-12.127855000000004</v>
      </c>
      <c r="Y50" s="2"/>
      <c r="Z50" s="7">
        <f t="shared" si="19"/>
        <v>-0.25772222299550207</v>
      </c>
    </row>
    <row r="51" spans="1:26" s="24" customFormat="1" hidden="1" outlineLevel="2" x14ac:dyDescent="0.25">
      <c r="A51" s="27"/>
      <c r="B51" s="11" t="str">
        <f>CONCATENATE("          ", "6115", " - ", "P.E.R.S.")</f>
        <v xml:space="preserve">          6115 - P.E.R.S.</v>
      </c>
      <c r="C51" s="11"/>
      <c r="D51" s="6">
        <v>176.42</v>
      </c>
      <c r="E51" s="2"/>
      <c r="F51" s="7">
        <f t="shared" si="12"/>
        <v>3.5881708895165528E-4</v>
      </c>
      <c r="G51" s="2"/>
      <c r="H51" s="6">
        <v>196.27780000000001</v>
      </c>
      <c r="I51" s="2"/>
      <c r="J51" s="7">
        <f t="shared" si="13"/>
        <v>4.348557591118457E-4</v>
      </c>
      <c r="K51" s="2"/>
      <c r="L51" s="6">
        <f t="shared" si="14"/>
        <v>-19.857800000000026</v>
      </c>
      <c r="M51" s="2"/>
      <c r="N51" s="7">
        <f t="shared" si="15"/>
        <v>-0.10117191042491827</v>
      </c>
      <c r="O51" s="11"/>
      <c r="P51" s="6">
        <v>441.05</v>
      </c>
      <c r="Q51" s="2"/>
      <c r="R51" s="7">
        <f t="shared" si="16"/>
        <v>6.3039726290527382E-4</v>
      </c>
      <c r="S51" s="2"/>
      <c r="T51" s="6">
        <v>441.62504999999999</v>
      </c>
      <c r="U51" s="2"/>
      <c r="V51" s="7">
        <f t="shared" si="17"/>
        <v>5.6281843125810061E-4</v>
      </c>
      <c r="W51" s="2"/>
      <c r="X51" s="6">
        <f t="shared" si="18"/>
        <v>-0.57504999999997608</v>
      </c>
      <c r="Y51" s="2"/>
      <c r="Z51" s="7">
        <f t="shared" si="19"/>
        <v>-1.3021226943534477E-3</v>
      </c>
    </row>
    <row r="52" spans="1:26" s="24" customFormat="1" hidden="1" outlineLevel="2" x14ac:dyDescent="0.25">
      <c r="A52" s="27"/>
      <c r="B52" s="11" t="str">
        <f>CONCATENATE("          ", "6116", " - ", "EDUCATIONAL BENEFITS")</f>
        <v xml:space="preserve">          6116 - EDUCATIONAL BENEFITS</v>
      </c>
      <c r="C52" s="11"/>
      <c r="D52" s="6"/>
      <c r="E52" s="2"/>
      <c r="F52" s="7">
        <f t="shared" si="12"/>
        <v>0</v>
      </c>
      <c r="G52" s="2"/>
      <c r="H52" s="6">
        <v>0</v>
      </c>
      <c r="I52" s="2"/>
      <c r="J52" s="7">
        <f t="shared" si="13"/>
        <v>0</v>
      </c>
      <c r="K52" s="2"/>
      <c r="L52" s="6">
        <f t="shared" si="14"/>
        <v>0</v>
      </c>
      <c r="M52" s="2"/>
      <c r="N52" s="7">
        <f t="shared" si="15"/>
        <v>0</v>
      </c>
      <c r="O52" s="11"/>
      <c r="P52" s="6"/>
      <c r="Q52" s="2"/>
      <c r="R52" s="7">
        <f t="shared" si="16"/>
        <v>0</v>
      </c>
      <c r="S52" s="2"/>
      <c r="T52" s="6">
        <v>0</v>
      </c>
      <c r="U52" s="2"/>
      <c r="V52" s="7">
        <f t="shared" si="17"/>
        <v>0</v>
      </c>
      <c r="W52" s="2"/>
      <c r="X52" s="6">
        <f t="shared" si="18"/>
        <v>0</v>
      </c>
      <c r="Y52" s="2"/>
      <c r="Z52" s="7">
        <f t="shared" si="19"/>
        <v>0</v>
      </c>
    </row>
    <row r="53" spans="1:26" s="24" customFormat="1" hidden="1" outlineLevel="2" x14ac:dyDescent="0.25">
      <c r="A53" s="27"/>
      <c r="B53" s="11" t="str">
        <f>CONCATENATE("          ", "6117", " - ", "RETIREMENT STAFF HOURLY")</f>
        <v xml:space="preserve">          6117 - RETIREMENT STAFF HOURLY</v>
      </c>
      <c r="C53" s="11"/>
      <c r="D53" s="6">
        <v>190.54</v>
      </c>
      <c r="E53" s="2"/>
      <c r="F53" s="7">
        <f t="shared" si="12"/>
        <v>3.8753547289903861E-4</v>
      </c>
      <c r="G53" s="2"/>
      <c r="H53" s="6"/>
      <c r="I53" s="2"/>
      <c r="J53" s="7">
        <f t="shared" si="13"/>
        <v>0</v>
      </c>
      <c r="K53" s="2"/>
      <c r="L53" s="6">
        <f t="shared" si="14"/>
        <v>190.54</v>
      </c>
      <c r="M53" s="2"/>
      <c r="N53" s="7">
        <f t="shared" si="15"/>
        <v>0</v>
      </c>
      <c r="O53" s="11"/>
      <c r="P53" s="6">
        <v>438.08</v>
      </c>
      <c r="Q53" s="2"/>
      <c r="R53" s="7">
        <f t="shared" si="16"/>
        <v>6.2615221161669275E-4</v>
      </c>
      <c r="S53" s="2"/>
      <c r="T53" s="6"/>
      <c r="U53" s="2"/>
      <c r="V53" s="7">
        <f t="shared" si="17"/>
        <v>0</v>
      </c>
      <c r="W53" s="2"/>
      <c r="X53" s="6">
        <f t="shared" si="18"/>
        <v>438.08</v>
      </c>
      <c r="Y53" s="2"/>
      <c r="Z53" s="7">
        <f t="shared" si="19"/>
        <v>0</v>
      </c>
    </row>
    <row r="54" spans="1:26" s="24" customFormat="1" hidden="1" outlineLevel="2" x14ac:dyDescent="0.25">
      <c r="A54" s="27"/>
      <c r="B54" s="11" t="str">
        <f>CONCATENATE("          ", "6118", " - ", "VACATION")</f>
        <v xml:space="preserve">          6118 - VACATION</v>
      </c>
      <c r="C54" s="11"/>
      <c r="D54" s="6">
        <v>257.8</v>
      </c>
      <c r="E54" s="2"/>
      <c r="F54" s="7">
        <f t="shared" si="12"/>
        <v>5.2433423382687193E-4</v>
      </c>
      <c r="G54" s="2"/>
      <c r="H54" s="6">
        <v>194.749</v>
      </c>
      <c r="I54" s="2"/>
      <c r="J54" s="7">
        <f t="shared" si="13"/>
        <v>4.3146868485010952E-4</v>
      </c>
      <c r="K54" s="2"/>
      <c r="L54" s="6">
        <f t="shared" si="14"/>
        <v>63.051000000000016</v>
      </c>
      <c r="M54" s="2"/>
      <c r="N54" s="7">
        <f t="shared" si="15"/>
        <v>0.32375519258122004</v>
      </c>
      <c r="O54" s="11"/>
      <c r="P54" s="6">
        <v>515.6</v>
      </c>
      <c r="Q54" s="2"/>
      <c r="R54" s="7">
        <f t="shared" si="16"/>
        <v>7.3695233817925221E-4</v>
      </c>
      <c r="S54" s="2"/>
      <c r="T54" s="6">
        <v>438.18525</v>
      </c>
      <c r="U54" s="2"/>
      <c r="V54" s="7">
        <f t="shared" si="17"/>
        <v>5.5843466081790106E-4</v>
      </c>
      <c r="W54" s="2"/>
      <c r="X54" s="6">
        <f t="shared" si="18"/>
        <v>77.414750000000026</v>
      </c>
      <c r="Y54" s="2"/>
      <c r="Z54" s="7">
        <f t="shared" si="19"/>
        <v>0.17667128229441778</v>
      </c>
    </row>
    <row r="55" spans="1:26" s="24" customFormat="1" hidden="1" outlineLevel="2" x14ac:dyDescent="0.25">
      <c r="A55" s="27"/>
      <c r="B55" s="11" t="str">
        <f>CONCATENATE("          ", "6119", " - ", "SICK LEAVE")</f>
        <v xml:space="preserve">          6119 - SICK LEAVE</v>
      </c>
      <c r="C55" s="11"/>
      <c r="D55" s="6">
        <v>256.57</v>
      </c>
      <c r="E55" s="2"/>
      <c r="F55" s="7">
        <f t="shared" si="12"/>
        <v>5.2183256157083211E-4</v>
      </c>
      <c r="G55" s="2"/>
      <c r="H55" s="6">
        <v>216.42599999999999</v>
      </c>
      <c r="I55" s="2"/>
      <c r="J55" s="7">
        <f t="shared" si="13"/>
        <v>4.7949433161335772E-4</v>
      </c>
      <c r="K55" s="2"/>
      <c r="L55" s="6">
        <f t="shared" si="14"/>
        <v>40.144000000000005</v>
      </c>
      <c r="M55" s="2"/>
      <c r="N55" s="7">
        <f t="shared" si="15"/>
        <v>0.18548603217728002</v>
      </c>
      <c r="O55" s="11"/>
      <c r="P55" s="6">
        <v>513.14</v>
      </c>
      <c r="Q55" s="2"/>
      <c r="R55" s="7">
        <f t="shared" si="16"/>
        <v>7.3343623509174052E-4</v>
      </c>
      <c r="S55" s="2"/>
      <c r="T55" s="6">
        <v>417.82350000000002</v>
      </c>
      <c r="U55" s="2"/>
      <c r="V55" s="7">
        <f t="shared" si="17"/>
        <v>5.3248511789077404E-4</v>
      </c>
      <c r="W55" s="2"/>
      <c r="X55" s="6">
        <f t="shared" si="18"/>
        <v>95.316499999999962</v>
      </c>
      <c r="Y55" s="2"/>
      <c r="Z55" s="7">
        <f t="shared" si="19"/>
        <v>0.22812623033410029</v>
      </c>
    </row>
    <row r="56" spans="1:26" s="24" customFormat="1" hidden="1" outlineLevel="2" x14ac:dyDescent="0.25">
      <c r="A56" s="27"/>
      <c r="B56" s="11" t="str">
        <f>CONCATENATE("          ", "6156", " - ", "EMPLOYEE MEALS")</f>
        <v xml:space="preserve">          6156 - EMPLOYEE MEALS</v>
      </c>
      <c r="C56" s="11"/>
      <c r="D56" s="6">
        <v>196.22</v>
      </c>
      <c r="E56" s="2"/>
      <c r="F56" s="7">
        <f t="shared" si="12"/>
        <v>3.9908791063424668E-4</v>
      </c>
      <c r="G56" s="2"/>
      <c r="H56" s="6">
        <v>175</v>
      </c>
      <c r="I56" s="2"/>
      <c r="J56" s="7">
        <f t="shared" si="13"/>
        <v>3.8771454461265103E-4</v>
      </c>
      <c r="K56" s="2"/>
      <c r="L56" s="6">
        <f t="shared" si="14"/>
        <v>21.22</v>
      </c>
      <c r="M56" s="2"/>
      <c r="N56" s="7">
        <f t="shared" si="15"/>
        <v>0.12125714285714286</v>
      </c>
      <c r="O56" s="11"/>
      <c r="P56" s="6">
        <v>375.05</v>
      </c>
      <c r="Q56" s="2"/>
      <c r="R56" s="7">
        <f t="shared" si="16"/>
        <v>5.3606278982569532E-4</v>
      </c>
      <c r="S56" s="2"/>
      <c r="T56" s="6">
        <v>350</v>
      </c>
      <c r="U56" s="2"/>
      <c r="V56" s="7">
        <f t="shared" si="17"/>
        <v>4.4604908833938476E-4</v>
      </c>
      <c r="W56" s="2"/>
      <c r="X56" s="6">
        <f t="shared" si="18"/>
        <v>25.050000000000011</v>
      </c>
      <c r="Y56" s="2"/>
      <c r="Z56" s="7">
        <f t="shared" si="19"/>
        <v>7.1571428571428605E-2</v>
      </c>
    </row>
    <row r="57" spans="1:26" s="29" customFormat="1" outlineLevel="1" collapsed="1" x14ac:dyDescent="0.25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9389.67</v>
      </c>
      <c r="E57" s="1"/>
      <c r="F57" s="5">
        <f t="shared" ref="F57:F67" si="20">IF(D$12=0,0,D57/D$12)</f>
        <v>1.9097460920625153E-2</v>
      </c>
      <c r="G57" s="1"/>
      <c r="H57" s="1">
        <f>SUM(OSRRefH22_1x_0)</f>
        <v>8657.125</v>
      </c>
      <c r="I57" s="1"/>
      <c r="J57" s="5">
        <f t="shared" ref="J57:J67" si="21">IF(H$12=0,0,H57/H$12)</f>
        <v>1.9179961583027406E-2</v>
      </c>
      <c r="K57" s="1"/>
      <c r="L57" s="1">
        <f t="shared" ref="L57:L67" si="22">+D57-H57</f>
        <v>732.54500000000007</v>
      </c>
      <c r="M57" s="1"/>
      <c r="N57" s="5">
        <f t="shared" ref="N57:N67" si="23">IF(H57=0,0,L57/H57)</f>
        <v>8.4617583782144776E-2</v>
      </c>
      <c r="O57" s="14"/>
      <c r="P57" s="1">
        <f>SUM(OSRRefP22_1x_0)</f>
        <v>15807.490000000002</v>
      </c>
      <c r="Q57" s="1"/>
      <c r="R57" s="5">
        <f t="shared" ref="R57:R67" si="24">IF(P$12=0,0,P57/P$12)</f>
        <v>2.2593806664556144E-2</v>
      </c>
      <c r="S57" s="1"/>
      <c r="T57" s="1">
        <f>SUM(OSRRefT22_1x_0)</f>
        <v>17243.166250000002</v>
      </c>
      <c r="U57" s="1"/>
      <c r="V57" s="5">
        <f t="shared" ref="V57:V67" si="25">IF(T$12=0,0,T57/T$12)</f>
        <v>2.1975138816848424E-2</v>
      </c>
      <c r="W57" s="1"/>
      <c r="X57" s="1">
        <f t="shared" ref="X57:X67" si="26">+P57-T57</f>
        <v>-1435.6762500000004</v>
      </c>
      <c r="Y57" s="1"/>
      <c r="Z57" s="5">
        <f t="shared" ref="Z57:Z67" si="27">IF(T57=0,0,X57/T57)</f>
        <v>-8.3260593163973023E-2</v>
      </c>
    </row>
    <row r="58" spans="1:26" s="24" customFormat="1" hidden="1" outlineLevel="2" x14ac:dyDescent="0.25">
      <c r="A58" s="27"/>
      <c r="B58" s="11" t="str">
        <f>CONCATENATE("          ", "6001", " - ", "ADMINISTRATIVE SALARIES")</f>
        <v xml:space="preserve">          6001 - ADMINISTRATIVE SALARIES</v>
      </c>
      <c r="C58" s="11"/>
      <c r="D58" s="6"/>
      <c r="E58" s="2"/>
      <c r="F58" s="7">
        <f t="shared" si="20"/>
        <v>0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/>
      <c r="Q58" s="2"/>
      <c r="R58" s="7">
        <f t="shared" si="24"/>
        <v>0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0</v>
      </c>
      <c r="Y58" s="2"/>
      <c r="Z58" s="7">
        <f t="shared" si="27"/>
        <v>0</v>
      </c>
    </row>
    <row r="59" spans="1:26" s="24" customFormat="1" hidden="1" outlineLevel="2" x14ac:dyDescent="0.25">
      <c r="A59" s="27"/>
      <c r="B59" s="11" t="str">
        <f>CONCATENATE("          ", "6002", " - ", "STAFF SALARIES")</f>
        <v xml:space="preserve">          6002 - STAFF SALARIES</v>
      </c>
      <c r="C59" s="11"/>
      <c r="D59" s="6">
        <v>2054.0700000000002</v>
      </c>
      <c r="E59" s="2"/>
      <c r="F59" s="7">
        <f t="shared" si="20"/>
        <v>4.1777316511899254E-3</v>
      </c>
      <c r="G59" s="2"/>
      <c r="H59" s="6">
        <v>2168.1849999999999</v>
      </c>
      <c r="I59" s="2"/>
      <c r="J59" s="7">
        <f t="shared" si="21"/>
        <v>4.8036391994913186E-3</v>
      </c>
      <c r="K59" s="2"/>
      <c r="L59" s="6">
        <f t="shared" si="22"/>
        <v>-114.11499999999978</v>
      </c>
      <c r="M59" s="2"/>
      <c r="N59" s="7">
        <f t="shared" si="23"/>
        <v>-5.2631578947368321E-2</v>
      </c>
      <c r="O59" s="11"/>
      <c r="P59" s="6">
        <v>4679.1400000000003</v>
      </c>
      <c r="Q59" s="2"/>
      <c r="R59" s="7">
        <f t="shared" si="24"/>
        <v>6.6879425206905858E-3</v>
      </c>
      <c r="S59" s="2"/>
      <c r="T59" s="6">
        <v>4878.4162500000002</v>
      </c>
      <c r="U59" s="2"/>
      <c r="V59" s="7">
        <f t="shared" si="25"/>
        <v>6.2171803452929714E-3</v>
      </c>
      <c r="W59" s="2"/>
      <c r="X59" s="6">
        <f t="shared" si="26"/>
        <v>-199.27624999999989</v>
      </c>
      <c r="Y59" s="2"/>
      <c r="Z59" s="7">
        <f t="shared" si="27"/>
        <v>-4.0848554077360634E-2</v>
      </c>
    </row>
    <row r="60" spans="1:26" s="24" customFormat="1" hidden="1" outlineLevel="2" x14ac:dyDescent="0.25">
      <c r="A60" s="27"/>
      <c r="B60" s="11" t="str">
        <f>CONCATENATE("          ", "6003", " - ", "STAFF HOURLY-9 MONTH")</f>
        <v xml:space="preserve">          6003 - STAFF HOURLY-9 MONTH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"6004", " - ", "STAFF HOURLY")</f>
        <v xml:space="preserve">          6004 - STAFF HOURLY</v>
      </c>
      <c r="C61" s="11"/>
      <c r="D61" s="6">
        <v>3810.96</v>
      </c>
      <c r="E61" s="2"/>
      <c r="F61" s="7">
        <f t="shared" si="20"/>
        <v>7.7510348787620462E-3</v>
      </c>
      <c r="G61" s="2"/>
      <c r="H61" s="6">
        <v>3088.12</v>
      </c>
      <c r="I61" s="2"/>
      <c r="J61" s="7">
        <f t="shared" si="21"/>
        <v>6.8417659400526847E-3</v>
      </c>
      <c r="K61" s="2"/>
      <c r="L61" s="6">
        <f t="shared" si="22"/>
        <v>722.84000000000015</v>
      </c>
      <c r="M61" s="2"/>
      <c r="N61" s="7">
        <f t="shared" si="23"/>
        <v>0.23407121484916396</v>
      </c>
      <c r="O61" s="11"/>
      <c r="P61" s="6">
        <v>6834.71</v>
      </c>
      <c r="Q61" s="2"/>
      <c r="R61" s="7">
        <f t="shared" si="24"/>
        <v>9.7689207045715994E-3</v>
      </c>
      <c r="S61" s="2"/>
      <c r="T61" s="6">
        <v>6948.27</v>
      </c>
      <c r="U61" s="2"/>
      <c r="V61" s="7">
        <f t="shared" si="25"/>
        <v>8.8550557115311349E-3</v>
      </c>
      <c r="W61" s="2"/>
      <c r="X61" s="6">
        <f t="shared" si="26"/>
        <v>-113.5600000000004</v>
      </c>
      <c r="Y61" s="2"/>
      <c r="Z61" s="7">
        <f t="shared" si="27"/>
        <v>-1.634363661746023E-2</v>
      </c>
    </row>
    <row r="62" spans="1:26" s="24" customFormat="1" hidden="1" outlineLevel="2" x14ac:dyDescent="0.25">
      <c r="A62" s="27"/>
      <c r="B62" s="11" t="str">
        <f>CONCATENATE("          ", "6005", " - ", "TEMPORARY WAGES-HOURLY")</f>
        <v xml:space="preserve">          6005 - TEMPORARY WAGES-HOURLY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7"/>
      <c r="B63" s="11" t="str">
        <f>CONCATENATE("          ", "6006", " - ", "TEMPORARY PART TIME")</f>
        <v xml:space="preserve">          6006 - TEMPORARY PART TIME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4" customFormat="1" hidden="1" outlineLevel="2" x14ac:dyDescent="0.25">
      <c r="A64" s="27"/>
      <c r="B64" s="11" t="str">
        <f>CONCATENATE("          ", "6007", " - ", "STUDENT HOURLY")</f>
        <v xml:space="preserve">          6007 - STUDENT HOURLY</v>
      </c>
      <c r="C64" s="11"/>
      <c r="D64" s="6">
        <v>3524.64</v>
      </c>
      <c r="E64" s="2"/>
      <c r="F64" s="7">
        <f t="shared" si="20"/>
        <v>7.1686943906731793E-3</v>
      </c>
      <c r="G64" s="2"/>
      <c r="H64" s="6">
        <v>3400.82</v>
      </c>
      <c r="I64" s="2"/>
      <c r="J64" s="7">
        <f t="shared" si="21"/>
        <v>7.5345564434834049E-3</v>
      </c>
      <c r="K64" s="2"/>
      <c r="L64" s="6">
        <f t="shared" si="22"/>
        <v>123.81999999999971</v>
      </c>
      <c r="M64" s="2"/>
      <c r="N64" s="7">
        <f t="shared" si="23"/>
        <v>3.6408866097000045E-2</v>
      </c>
      <c r="O64" s="11"/>
      <c r="P64" s="6">
        <v>4293.6400000000003</v>
      </c>
      <c r="Q64" s="2"/>
      <c r="R64" s="7">
        <f t="shared" si="24"/>
        <v>6.1369434392939577E-3</v>
      </c>
      <c r="S64" s="2"/>
      <c r="T64" s="6">
        <v>5416.48</v>
      </c>
      <c r="U64" s="2"/>
      <c r="V64" s="7">
        <f t="shared" si="25"/>
        <v>6.9029027600243159E-3</v>
      </c>
      <c r="W64" s="2"/>
      <c r="X64" s="6">
        <f t="shared" si="26"/>
        <v>-1122.8399999999992</v>
      </c>
      <c r="Y64" s="2"/>
      <c r="Z64" s="7">
        <f t="shared" si="27"/>
        <v>-0.20730068236197666</v>
      </c>
    </row>
    <row r="65" spans="1:26" s="24" customFormat="1" hidden="1" outlineLevel="2" x14ac:dyDescent="0.25">
      <c r="A65" s="27"/>
      <c r="B65" s="11" t="str">
        <f>CONCATENATE("          ", "6008", " - ", "STUDENT HOURLY-FICA EXEMPT")</f>
        <v xml:space="preserve">          6008 - STUDENT HOURLY-FICA EXEMPT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7"/>
      <c r="B66" s="11" t="str">
        <f>CONCATENATE("          ", "6009", " - ", "TEMPORARY-SEASONAL")</f>
        <v xml:space="preserve">          6009 - TEMPORARY-SEASONAL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/>
      <c r="Q66" s="2"/>
      <c r="R66" s="7">
        <f t="shared" si="24"/>
        <v>0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0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"6010", " - ", "GRATUITY")</f>
        <v xml:space="preserve">          6010 - GRATUITY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9" customFormat="1" outlineLevel="1" collapsed="1" x14ac:dyDescent="0.25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99.23</v>
      </c>
      <c r="E68" s="1"/>
      <c r="F68" s="5">
        <f t="shared" ref="F68:F78" si="28">IF(D$12=0,0,D68/D$12)</f>
        <v>2.0182190078603762E-4</v>
      </c>
      <c r="G68" s="1"/>
      <c r="H68" s="1">
        <f>SUM(OSRRefH22_2x_0)</f>
        <v>200</v>
      </c>
      <c r="I68" s="1"/>
      <c r="J68" s="5">
        <f t="shared" ref="J68:J78" si="29">IF(H$12=0,0,H68/H$12)</f>
        <v>4.4310233670017259E-4</v>
      </c>
      <c r="K68" s="1"/>
      <c r="L68" s="1">
        <f t="shared" ref="L68:L78" si="30">+D68-H68</f>
        <v>-100.77</v>
      </c>
      <c r="M68" s="1"/>
      <c r="N68" s="5">
        <f t="shared" ref="N68:N78" si="31">IF(H68=0,0,L68/H68)</f>
        <v>-0.50385000000000002</v>
      </c>
      <c r="O68" s="14"/>
      <c r="P68" s="1">
        <f>SUM(OSRRefP22_2x_0)</f>
        <v>248.88</v>
      </c>
      <c r="Q68" s="1"/>
      <c r="R68" s="5">
        <f t="shared" ref="R68:R78" si="32">IF(P$12=0,0,P68/P$12)</f>
        <v>3.5572672212190123E-4</v>
      </c>
      <c r="S68" s="1"/>
      <c r="T68" s="1">
        <f>SUM(OSRRefT22_2x_0)</f>
        <v>400</v>
      </c>
      <c r="U68" s="1"/>
      <c r="V68" s="5">
        <f t="shared" ref="V68:V78" si="33">IF(T$12=0,0,T68/T$12)</f>
        <v>5.0977038667358258E-4</v>
      </c>
      <c r="W68" s="1"/>
      <c r="X68" s="1">
        <f t="shared" ref="X68:X78" si="34">+P68-T68</f>
        <v>-151.12</v>
      </c>
      <c r="Y68" s="1"/>
      <c r="Z68" s="5">
        <f t="shared" ref="Z68:Z78" si="35">IF(T68=0,0,X68/T68)</f>
        <v>-0.37780000000000002</v>
      </c>
    </row>
    <row r="69" spans="1:26" s="24" customFormat="1" hidden="1" outlineLevel="2" x14ac:dyDescent="0.25">
      <c r="A69" s="27"/>
      <c r="B69" s="11" t="str">
        <f>CONCATENATE("          ", "6362", " - ", "ADVERTISING EXPENSE")</f>
        <v xml:space="preserve">          6362 - ADVERTISING EXPENSE</v>
      </c>
      <c r="C69" s="11"/>
      <c r="D69" s="6">
        <v>99.23</v>
      </c>
      <c r="E69" s="2"/>
      <c r="F69" s="7">
        <f t="shared" si="28"/>
        <v>2.0182190078603762E-4</v>
      </c>
      <c r="G69" s="2"/>
      <c r="H69" s="6">
        <v>200</v>
      </c>
      <c r="I69" s="2"/>
      <c r="J69" s="7">
        <f t="shared" si="29"/>
        <v>4.4310233670017259E-4</v>
      </c>
      <c r="K69" s="2"/>
      <c r="L69" s="6">
        <f t="shared" si="30"/>
        <v>-100.77</v>
      </c>
      <c r="M69" s="2"/>
      <c r="N69" s="7">
        <f t="shared" si="31"/>
        <v>-0.50385000000000002</v>
      </c>
      <c r="O69" s="11"/>
      <c r="P69" s="6">
        <v>248.88</v>
      </c>
      <c r="Q69" s="2"/>
      <c r="R69" s="7">
        <f t="shared" si="32"/>
        <v>3.5572672212190123E-4</v>
      </c>
      <c r="S69" s="2"/>
      <c r="T69" s="6">
        <v>400</v>
      </c>
      <c r="U69" s="2"/>
      <c r="V69" s="7">
        <f t="shared" si="33"/>
        <v>5.0977038667358258E-4</v>
      </c>
      <c r="W69" s="2"/>
      <c r="X69" s="6">
        <f t="shared" si="34"/>
        <v>-151.12</v>
      </c>
      <c r="Y69" s="2"/>
      <c r="Z69" s="7">
        <f t="shared" si="35"/>
        <v>-0.37780000000000002</v>
      </c>
    </row>
    <row r="70" spans="1:26" s="29" customFormat="1" outlineLevel="1" collapsed="1" x14ac:dyDescent="0.25">
      <c r="A70" s="28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28"/>
        <v>5.703812743770673E-4</v>
      </c>
      <c r="G70" s="1"/>
      <c r="H70" s="1">
        <f>SUM(OSRRefH22_3x_0)</f>
        <v>300</v>
      </c>
      <c r="I70" s="1"/>
      <c r="J70" s="5">
        <f t="shared" si="29"/>
        <v>6.6465350505025885E-4</v>
      </c>
      <c r="K70" s="1"/>
      <c r="L70" s="1">
        <f t="shared" si="30"/>
        <v>-19.560000000000002</v>
      </c>
      <c r="M70" s="1"/>
      <c r="N70" s="5">
        <f t="shared" si="31"/>
        <v>-6.5200000000000008E-2</v>
      </c>
      <c r="O70" s="14"/>
      <c r="P70" s="1">
        <f>SUM(OSRRefP22_3x_0)</f>
        <v>560.88</v>
      </c>
      <c r="Q70" s="1"/>
      <c r="R70" s="5">
        <f t="shared" si="32"/>
        <v>8.016715039526357E-4</v>
      </c>
      <c r="S70" s="1"/>
      <c r="T70" s="1">
        <f>SUM(OSRRefT22_3x_0)</f>
        <v>600</v>
      </c>
      <c r="U70" s="1"/>
      <c r="V70" s="5">
        <f t="shared" si="33"/>
        <v>7.6465558001037387E-4</v>
      </c>
      <c r="W70" s="1"/>
      <c r="X70" s="1">
        <f t="shared" si="34"/>
        <v>-39.120000000000005</v>
      </c>
      <c r="Y70" s="1"/>
      <c r="Z70" s="5">
        <f t="shared" si="35"/>
        <v>-6.5200000000000008E-2</v>
      </c>
    </row>
    <row r="71" spans="1:26" s="24" customFormat="1" hidden="1" outlineLevel="2" x14ac:dyDescent="0.25">
      <c r="A71" s="27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28"/>
        <v>5.703812743770673E-4</v>
      </c>
      <c r="G71" s="2"/>
      <c r="H71" s="6">
        <v>300</v>
      </c>
      <c r="I71" s="2"/>
      <c r="J71" s="7">
        <f t="shared" si="29"/>
        <v>6.6465350505025885E-4</v>
      </c>
      <c r="K71" s="2"/>
      <c r="L71" s="6">
        <f t="shared" si="30"/>
        <v>-19.560000000000002</v>
      </c>
      <c r="M71" s="2"/>
      <c r="N71" s="7">
        <f t="shared" si="31"/>
        <v>-6.5200000000000008E-2</v>
      </c>
      <c r="O71" s="11"/>
      <c r="P71" s="6">
        <v>560.88</v>
      </c>
      <c r="Q71" s="2"/>
      <c r="R71" s="7">
        <f t="shared" si="32"/>
        <v>8.016715039526357E-4</v>
      </c>
      <c r="S71" s="2"/>
      <c r="T71" s="6">
        <v>600</v>
      </c>
      <c r="U71" s="2"/>
      <c r="V71" s="7">
        <f t="shared" si="33"/>
        <v>7.6465558001037387E-4</v>
      </c>
      <c r="W71" s="2"/>
      <c r="X71" s="6">
        <f t="shared" si="34"/>
        <v>-39.120000000000005</v>
      </c>
      <c r="Y71" s="2"/>
      <c r="Z71" s="7">
        <f t="shared" si="35"/>
        <v>-6.5200000000000008E-2</v>
      </c>
    </row>
    <row r="72" spans="1:26" s="29" customFormat="1" outlineLevel="1" collapsed="1" x14ac:dyDescent="0.25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28"/>
        <v>0</v>
      </c>
      <c r="G72" s="1"/>
      <c r="H72" s="1">
        <f>SUM(OSRRefH22_4x_0)</f>
        <v>7180</v>
      </c>
      <c r="I72" s="1"/>
      <c r="J72" s="5">
        <f t="shared" si="29"/>
        <v>1.5907373887536196E-2</v>
      </c>
      <c r="K72" s="1"/>
      <c r="L72" s="1">
        <f t="shared" si="30"/>
        <v>-7180</v>
      </c>
      <c r="M72" s="1"/>
      <c r="N72" s="5">
        <f t="shared" si="31"/>
        <v>-1</v>
      </c>
      <c r="O72" s="14"/>
      <c r="P72" s="1">
        <f>SUM(OSRRefP22_4x_0)</f>
        <v>0</v>
      </c>
      <c r="Q72" s="1"/>
      <c r="R72" s="5">
        <f t="shared" si="32"/>
        <v>0</v>
      </c>
      <c r="S72" s="1"/>
      <c r="T72" s="1">
        <f>SUM(OSRRefT22_4x_0)</f>
        <v>12481</v>
      </c>
      <c r="U72" s="1"/>
      <c r="V72" s="5">
        <f t="shared" si="33"/>
        <v>1.5906110490182458E-2</v>
      </c>
      <c r="W72" s="1"/>
      <c r="X72" s="1">
        <f t="shared" si="34"/>
        <v>-12481</v>
      </c>
      <c r="Y72" s="1"/>
      <c r="Z72" s="5">
        <f t="shared" si="35"/>
        <v>-1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28"/>
        <v>0</v>
      </c>
      <c r="G73" s="2"/>
      <c r="H73" s="6">
        <v>7180</v>
      </c>
      <c r="I73" s="2"/>
      <c r="J73" s="7">
        <f t="shared" si="29"/>
        <v>1.5907373887536196E-2</v>
      </c>
      <c r="K73" s="2"/>
      <c r="L73" s="6">
        <f t="shared" si="30"/>
        <v>-7180</v>
      </c>
      <c r="M73" s="2"/>
      <c r="N73" s="7">
        <f t="shared" si="31"/>
        <v>-1</v>
      </c>
      <c r="O73" s="11"/>
      <c r="P73" s="6"/>
      <c r="Q73" s="2"/>
      <c r="R73" s="7">
        <f t="shared" si="32"/>
        <v>0</v>
      </c>
      <c r="S73" s="2"/>
      <c r="T73" s="6">
        <v>12481</v>
      </c>
      <c r="U73" s="2"/>
      <c r="V73" s="7">
        <f t="shared" si="33"/>
        <v>1.5906110490182458E-2</v>
      </c>
      <c r="W73" s="2"/>
      <c r="X73" s="6">
        <f t="shared" si="34"/>
        <v>-12481</v>
      </c>
      <c r="Y73" s="2"/>
      <c r="Z73" s="7">
        <f t="shared" si="35"/>
        <v>-1</v>
      </c>
    </row>
    <row r="74" spans="1:26" s="29" customFormat="1" outlineLevel="1" collapsed="1" x14ac:dyDescent="0.25">
      <c r="A74" s="28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SUM(OSRRefD22_5x_0)</f>
        <v>0</v>
      </c>
      <c r="E74" s="1"/>
      <c r="F74" s="5">
        <f t="shared" si="28"/>
        <v>0</v>
      </c>
      <c r="G74" s="1"/>
      <c r="H74" s="1">
        <f>SUM(OSRRefH22_5x_0)</f>
        <v>20</v>
      </c>
      <c r="I74" s="1"/>
      <c r="J74" s="5">
        <f t="shared" si="29"/>
        <v>4.4310233670017256E-5</v>
      </c>
      <c r="K74" s="1"/>
      <c r="L74" s="1">
        <f t="shared" si="30"/>
        <v>-20</v>
      </c>
      <c r="M74" s="1"/>
      <c r="N74" s="5">
        <f t="shared" si="31"/>
        <v>-1</v>
      </c>
      <c r="O74" s="14"/>
      <c r="P74" s="1">
        <f>SUM(OSRRefP22_5x_0)</f>
        <v>0</v>
      </c>
      <c r="Q74" s="1"/>
      <c r="R74" s="5">
        <f t="shared" si="32"/>
        <v>0</v>
      </c>
      <c r="S74" s="1"/>
      <c r="T74" s="1">
        <f>SUM(OSRRefT22_5x_0)</f>
        <v>40</v>
      </c>
      <c r="U74" s="1"/>
      <c r="V74" s="5">
        <f t="shared" si="33"/>
        <v>5.0977038667358252E-5</v>
      </c>
      <c r="W74" s="1"/>
      <c r="X74" s="1">
        <f t="shared" si="34"/>
        <v>-40</v>
      </c>
      <c r="Y74" s="1"/>
      <c r="Z74" s="5">
        <f t="shared" si="35"/>
        <v>-1</v>
      </c>
    </row>
    <row r="75" spans="1:26" s="24" customFormat="1" hidden="1" outlineLevel="2" x14ac:dyDescent="0.25">
      <c r="A75" s="27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28"/>
        <v>0</v>
      </c>
      <c r="G75" s="2"/>
      <c r="H75" s="6">
        <v>20</v>
      </c>
      <c r="I75" s="2"/>
      <c r="J75" s="7">
        <f t="shared" si="29"/>
        <v>4.4310233670017256E-5</v>
      </c>
      <c r="K75" s="2"/>
      <c r="L75" s="6">
        <f t="shared" si="30"/>
        <v>-20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40</v>
      </c>
      <c r="U75" s="2"/>
      <c r="V75" s="7">
        <f t="shared" si="33"/>
        <v>5.0977038667358252E-5</v>
      </c>
      <c r="W75" s="2"/>
      <c r="X75" s="6">
        <f t="shared" si="34"/>
        <v>-40</v>
      </c>
      <c r="Y75" s="2"/>
      <c r="Z75" s="7">
        <f t="shared" si="35"/>
        <v>-1</v>
      </c>
    </row>
    <row r="76" spans="1:26" s="29" customFormat="1" outlineLevel="1" collapsed="1" x14ac:dyDescent="0.25">
      <c r="A76" s="28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SUM(OSRRefD22_6x_0)</f>
        <v>179.14000000000001</v>
      </c>
      <c r="E76" s="1"/>
      <c r="F76" s="5">
        <f t="shared" si="28"/>
        <v>3.6434924223330425E-4</v>
      </c>
      <c r="G76" s="1"/>
      <c r="H76" s="1">
        <f>SUM(OSRRefH22_6x_0)</f>
        <v>15</v>
      </c>
      <c r="I76" s="1"/>
      <c r="J76" s="5">
        <f t="shared" si="29"/>
        <v>3.3232675252512945E-5</v>
      </c>
      <c r="K76" s="1"/>
      <c r="L76" s="1">
        <f t="shared" si="30"/>
        <v>164.14000000000001</v>
      </c>
      <c r="M76" s="1"/>
      <c r="N76" s="5">
        <f t="shared" si="31"/>
        <v>10.942666666666668</v>
      </c>
      <c r="O76" s="14"/>
      <c r="P76" s="1">
        <f>SUM(OSRRefP22_6x_0)</f>
        <v>189.75</v>
      </c>
      <c r="Q76" s="1"/>
      <c r="R76" s="5">
        <f t="shared" si="32"/>
        <v>2.7121161010378801E-4</v>
      </c>
      <c r="S76" s="1"/>
      <c r="T76" s="1">
        <f>SUM(OSRRefT22_6x_0)</f>
        <v>30</v>
      </c>
      <c r="U76" s="1"/>
      <c r="V76" s="5">
        <f t="shared" si="33"/>
        <v>3.8232779000518689E-5</v>
      </c>
      <c r="W76" s="1"/>
      <c r="X76" s="1">
        <f t="shared" si="34"/>
        <v>159.75</v>
      </c>
      <c r="Y76" s="1"/>
      <c r="Z76" s="5">
        <f t="shared" si="35"/>
        <v>5.3250000000000002</v>
      </c>
    </row>
    <row r="77" spans="1:26" s="24" customFormat="1" hidden="1" outlineLevel="2" x14ac:dyDescent="0.25">
      <c r="A77" s="27"/>
      <c r="B77" s="11" t="str">
        <f>CONCATENATE("          ", "6305", " - ", "FREIGHT OUT")</f>
        <v xml:space="preserve">          6305 - FREIGHT OUT</v>
      </c>
      <c r="C77" s="11"/>
      <c r="D77" s="6">
        <v>175.34</v>
      </c>
      <c r="E77" s="2"/>
      <c r="F77" s="7">
        <f t="shared" si="28"/>
        <v>3.5662049867805939E-4</v>
      </c>
      <c r="G77" s="2"/>
      <c r="H77" s="6">
        <v>15</v>
      </c>
      <c r="I77" s="2"/>
      <c r="J77" s="7">
        <f t="shared" si="29"/>
        <v>3.3232675252512945E-5</v>
      </c>
      <c r="K77" s="2"/>
      <c r="L77" s="6">
        <f t="shared" si="30"/>
        <v>160.34</v>
      </c>
      <c r="M77" s="2"/>
      <c r="N77" s="7">
        <f t="shared" si="31"/>
        <v>10.689333333333334</v>
      </c>
      <c r="O77" s="11"/>
      <c r="P77" s="6">
        <v>180.95</v>
      </c>
      <c r="Q77" s="2"/>
      <c r="R77" s="7">
        <f t="shared" si="32"/>
        <v>2.5863368035984418E-4</v>
      </c>
      <c r="S77" s="2"/>
      <c r="T77" s="6">
        <v>30</v>
      </c>
      <c r="U77" s="2"/>
      <c r="V77" s="7">
        <f t="shared" si="33"/>
        <v>3.8232779000518689E-5</v>
      </c>
      <c r="W77" s="2"/>
      <c r="X77" s="6">
        <f t="shared" si="34"/>
        <v>150.94999999999999</v>
      </c>
      <c r="Y77" s="2"/>
      <c r="Z77" s="7">
        <f t="shared" si="35"/>
        <v>5.0316666666666663</v>
      </c>
    </row>
    <row r="78" spans="1:26" s="24" customFormat="1" hidden="1" outlineLevel="2" x14ac:dyDescent="0.25">
      <c r="A78" s="27"/>
      <c r="B78" s="11" t="str">
        <f>CONCATENATE("          ", "6307", " - ", "POSTAGE")</f>
        <v xml:space="preserve">          6307 - POSTAGE</v>
      </c>
      <c r="C78" s="11"/>
      <c r="D78" s="6">
        <v>3.8</v>
      </c>
      <c r="E78" s="2"/>
      <c r="F78" s="7">
        <f t="shared" si="28"/>
        <v>7.7287435552448136E-6</v>
      </c>
      <c r="G78" s="2"/>
      <c r="H78" s="6"/>
      <c r="I78" s="2"/>
      <c r="J78" s="7">
        <f t="shared" si="29"/>
        <v>0</v>
      </c>
      <c r="K78" s="2"/>
      <c r="L78" s="6">
        <f t="shared" si="30"/>
        <v>3.8</v>
      </c>
      <c r="M78" s="2"/>
      <c r="N78" s="7">
        <f t="shared" si="31"/>
        <v>0</v>
      </c>
      <c r="O78" s="11"/>
      <c r="P78" s="6">
        <v>8.8000000000000007</v>
      </c>
      <c r="Q78" s="2"/>
      <c r="R78" s="7">
        <f t="shared" si="32"/>
        <v>1.2577929743943792E-5</v>
      </c>
      <c r="S78" s="2"/>
      <c r="T78" s="6"/>
      <c r="U78" s="2"/>
      <c r="V78" s="7">
        <f t="shared" si="33"/>
        <v>0</v>
      </c>
      <c r="W78" s="2"/>
      <c r="X78" s="6">
        <f t="shared" si="34"/>
        <v>8.8000000000000007</v>
      </c>
      <c r="Y78" s="2"/>
      <c r="Z78" s="7">
        <f t="shared" si="35"/>
        <v>0</v>
      </c>
    </row>
    <row r="79" spans="1:26" s="29" customFormat="1" outlineLevel="1" collapsed="1" x14ac:dyDescent="0.25">
      <c r="A79" s="28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SUM(OSRRefD22_7x_0)</f>
        <v>0</v>
      </c>
      <c r="E79" s="1"/>
      <c r="F79" s="5">
        <f t="shared" ref="F79:F88" si="36">IF(D$12=0,0,D79/D$12)</f>
        <v>0</v>
      </c>
      <c r="G79" s="1"/>
      <c r="H79" s="1">
        <f>SUM(OSRRefH22_7x_0)</f>
        <v>30</v>
      </c>
      <c r="I79" s="1"/>
      <c r="J79" s="5">
        <f t="shared" ref="J79:J88" si="37">IF(H$12=0,0,H79/H$12)</f>
        <v>6.6465350505025891E-5</v>
      </c>
      <c r="K79" s="1"/>
      <c r="L79" s="1">
        <f t="shared" ref="L79:L88" si="38">+D79-H79</f>
        <v>-30</v>
      </c>
      <c r="M79" s="1"/>
      <c r="N79" s="5">
        <f t="shared" ref="N79:N88" si="39">IF(H79=0,0,L79/H79)</f>
        <v>-1</v>
      </c>
      <c r="O79" s="14"/>
      <c r="P79" s="1">
        <f>SUM(OSRRefP22_7x_0)</f>
        <v>-30.15</v>
      </c>
      <c r="Q79" s="1"/>
      <c r="R79" s="5">
        <f t="shared" ref="R79:R88" si="40">IF(P$12=0,0,P79/P$12)</f>
        <v>-4.3093702474989239E-5</v>
      </c>
      <c r="S79" s="1"/>
      <c r="T79" s="1">
        <f>SUM(OSRRefT22_7x_0)</f>
        <v>60</v>
      </c>
      <c r="U79" s="1"/>
      <c r="V79" s="5">
        <f t="shared" ref="V79:V88" si="41">IF(T$12=0,0,T79/T$12)</f>
        <v>7.6465558001037379E-5</v>
      </c>
      <c r="W79" s="1"/>
      <c r="X79" s="1">
        <f t="shared" ref="X79:X88" si="42">+P79-T79</f>
        <v>-90.15</v>
      </c>
      <c r="Y79" s="1"/>
      <c r="Z79" s="5">
        <f t="shared" ref="Z79:Z88" si="43">IF(T79=0,0,X79/T79)</f>
        <v>-1.5025000000000002</v>
      </c>
    </row>
    <row r="80" spans="1:26" s="24" customFormat="1" hidden="1" outlineLevel="2" x14ac:dyDescent="0.25">
      <c r="A80" s="27"/>
      <c r="B80" s="11" t="str">
        <f>CONCATENATE("          ", "6279", " - ", "GENERAL EXPENSE")</f>
        <v xml:space="preserve">          6279 - GENERAL EXPENSE</v>
      </c>
      <c r="C80" s="11"/>
      <c r="D80" s="6"/>
      <c r="E80" s="2"/>
      <c r="F80" s="7">
        <f t="shared" si="36"/>
        <v>0</v>
      </c>
      <c r="G80" s="2"/>
      <c r="H80" s="6">
        <v>30</v>
      </c>
      <c r="I80" s="2"/>
      <c r="J80" s="7">
        <f t="shared" si="37"/>
        <v>6.6465350505025891E-5</v>
      </c>
      <c r="K80" s="2"/>
      <c r="L80" s="6">
        <f t="shared" si="38"/>
        <v>-30</v>
      </c>
      <c r="M80" s="2"/>
      <c r="N80" s="7">
        <f t="shared" si="39"/>
        <v>-1</v>
      </c>
      <c r="O80" s="11"/>
      <c r="P80" s="6">
        <v>-30.15</v>
      </c>
      <c r="Q80" s="2"/>
      <c r="R80" s="7">
        <f t="shared" si="40"/>
        <v>-4.3093702474989239E-5</v>
      </c>
      <c r="S80" s="2"/>
      <c r="T80" s="6">
        <v>60</v>
      </c>
      <c r="U80" s="2"/>
      <c r="V80" s="7">
        <f t="shared" si="41"/>
        <v>7.6465558001037379E-5</v>
      </c>
      <c r="W80" s="2"/>
      <c r="X80" s="6">
        <f t="shared" si="42"/>
        <v>-90.15</v>
      </c>
      <c r="Y80" s="2"/>
      <c r="Z80" s="7">
        <f t="shared" si="43"/>
        <v>-1.5025000000000002</v>
      </c>
    </row>
    <row r="81" spans="1:26" s="29" customFormat="1" outlineLevel="1" collapsed="1" x14ac:dyDescent="0.25">
      <c r="A81" s="28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SUM(OSRRefD22_8x_0)</f>
        <v>1250</v>
      </c>
      <c r="E81" s="1"/>
      <c r="F81" s="5">
        <f t="shared" si="36"/>
        <v>2.542349853698952E-3</v>
      </c>
      <c r="G81" s="1"/>
      <c r="H81" s="1">
        <f>SUM(OSRRefH22_8x_0)</f>
        <v>1250</v>
      </c>
      <c r="I81" s="1"/>
      <c r="J81" s="5">
        <f t="shared" si="37"/>
        <v>2.7693896043760788E-3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SUM(OSRRefP22_8x_0)</f>
        <v>2500</v>
      </c>
      <c r="Q81" s="1"/>
      <c r="R81" s="5">
        <f t="shared" si="40"/>
        <v>3.5732754954385772E-3</v>
      </c>
      <c r="S81" s="1"/>
      <c r="T81" s="1">
        <f>SUM(OSRRefT22_8x_0)</f>
        <v>2500</v>
      </c>
      <c r="U81" s="1"/>
      <c r="V81" s="5">
        <f t="shared" si="41"/>
        <v>3.1860649167098909E-3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7"/>
      <c r="B82" s="11" t="str">
        <f>CONCATENATE("          ", "6408", " - ", "INVENTORY ADJUSTMENT")</f>
        <v xml:space="preserve">          6408 - INVENTORY ADJUSTMENT</v>
      </c>
      <c r="C82" s="11"/>
      <c r="D82" s="6">
        <v>1250</v>
      </c>
      <c r="E82" s="2"/>
      <c r="F82" s="7">
        <f t="shared" si="36"/>
        <v>2.542349853698952E-3</v>
      </c>
      <c r="G82" s="2"/>
      <c r="H82" s="6">
        <v>1250</v>
      </c>
      <c r="I82" s="2"/>
      <c r="J82" s="7">
        <f t="shared" si="37"/>
        <v>2.7693896043760788E-3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2500</v>
      </c>
      <c r="Q82" s="2"/>
      <c r="R82" s="7">
        <f t="shared" si="40"/>
        <v>3.5732754954385772E-3</v>
      </c>
      <c r="S82" s="2"/>
      <c r="T82" s="6">
        <v>2500</v>
      </c>
      <c r="U82" s="2"/>
      <c r="V82" s="7">
        <f t="shared" si="41"/>
        <v>3.1860649167098909E-3</v>
      </c>
      <c r="W82" s="2"/>
      <c r="X82" s="6">
        <f t="shared" si="42"/>
        <v>0</v>
      </c>
      <c r="Y82" s="2"/>
      <c r="Z82" s="7">
        <f t="shared" si="43"/>
        <v>0</v>
      </c>
    </row>
    <row r="83" spans="1:26" s="29" customFormat="1" outlineLevel="1" collapsed="1" x14ac:dyDescent="0.25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SUM(OSRRefD22_9x_0)</f>
        <v>0</v>
      </c>
      <c r="E83" s="1"/>
      <c r="F83" s="5">
        <f t="shared" si="36"/>
        <v>0</v>
      </c>
      <c r="G83" s="1"/>
      <c r="H83" s="1">
        <f>SUM(OSRRefH22_9x_0)</f>
        <v>20</v>
      </c>
      <c r="I83" s="1"/>
      <c r="J83" s="5">
        <f t="shared" si="37"/>
        <v>4.4310233670017256E-5</v>
      </c>
      <c r="K83" s="1"/>
      <c r="L83" s="1">
        <f t="shared" si="38"/>
        <v>-20</v>
      </c>
      <c r="M83" s="1"/>
      <c r="N83" s="5">
        <f t="shared" si="39"/>
        <v>-1</v>
      </c>
      <c r="O83" s="14"/>
      <c r="P83" s="1">
        <f>SUM(OSRRefP22_9x_0)</f>
        <v>0</v>
      </c>
      <c r="Q83" s="1"/>
      <c r="R83" s="5">
        <f t="shared" si="40"/>
        <v>0</v>
      </c>
      <c r="S83" s="1"/>
      <c r="T83" s="1">
        <f>SUM(OSRRefT22_9x_0)</f>
        <v>45</v>
      </c>
      <c r="U83" s="1"/>
      <c r="V83" s="5">
        <f t="shared" si="41"/>
        <v>5.7349168500778037E-5</v>
      </c>
      <c r="W83" s="1"/>
      <c r="X83" s="1">
        <f t="shared" si="42"/>
        <v>-45</v>
      </c>
      <c r="Y83" s="1"/>
      <c r="Z83" s="5">
        <f t="shared" si="43"/>
        <v>-1</v>
      </c>
    </row>
    <row r="84" spans="1:26" s="24" customFormat="1" hidden="1" outlineLevel="2" x14ac:dyDescent="0.25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/>
      <c r="E84" s="2"/>
      <c r="F84" s="7">
        <f t="shared" si="36"/>
        <v>0</v>
      </c>
      <c r="G84" s="2"/>
      <c r="H84" s="6">
        <v>20</v>
      </c>
      <c r="I84" s="2"/>
      <c r="J84" s="7">
        <f t="shared" si="37"/>
        <v>4.4310233670017256E-5</v>
      </c>
      <c r="K84" s="2"/>
      <c r="L84" s="6">
        <f t="shared" si="38"/>
        <v>-20</v>
      </c>
      <c r="M84" s="2"/>
      <c r="N84" s="7">
        <f t="shared" si="39"/>
        <v>-1</v>
      </c>
      <c r="O84" s="11"/>
      <c r="P84" s="6"/>
      <c r="Q84" s="2"/>
      <c r="R84" s="7">
        <f t="shared" si="40"/>
        <v>0</v>
      </c>
      <c r="S84" s="2"/>
      <c r="T84" s="6">
        <v>45</v>
      </c>
      <c r="U84" s="2"/>
      <c r="V84" s="7">
        <f t="shared" si="41"/>
        <v>5.7349168500778037E-5</v>
      </c>
      <c r="W84" s="2"/>
      <c r="X84" s="6">
        <f t="shared" si="42"/>
        <v>-45</v>
      </c>
      <c r="Y84" s="2"/>
      <c r="Z84" s="7">
        <f t="shared" si="43"/>
        <v>-1</v>
      </c>
    </row>
    <row r="85" spans="1:26" s="29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SUM(OSRRefD22_10x_0)</f>
        <v>787.43</v>
      </c>
      <c r="E85" s="1"/>
      <c r="F85" s="5">
        <f t="shared" si="36"/>
        <v>1.6015380362385326E-3</v>
      </c>
      <c r="G85" s="1"/>
      <c r="H85" s="1">
        <f>SUM(OSRRefH22_10x_0)</f>
        <v>310</v>
      </c>
      <c r="I85" s="1"/>
      <c r="J85" s="5">
        <f t="shared" si="37"/>
        <v>6.8680862188526747E-4</v>
      </c>
      <c r="K85" s="1"/>
      <c r="L85" s="1">
        <f t="shared" si="38"/>
        <v>477.42999999999995</v>
      </c>
      <c r="M85" s="1"/>
      <c r="N85" s="5">
        <f t="shared" si="39"/>
        <v>1.5400967741935483</v>
      </c>
      <c r="O85" s="14"/>
      <c r="P85" s="1">
        <f>SUM(OSRRefP22_10x_0)</f>
        <v>1455.55</v>
      </c>
      <c r="Q85" s="1"/>
      <c r="R85" s="5">
        <f t="shared" si="40"/>
        <v>2.0804324589542484E-3</v>
      </c>
      <c r="S85" s="1"/>
      <c r="T85" s="1">
        <f>SUM(OSRRefT22_10x_0)</f>
        <v>620</v>
      </c>
      <c r="U85" s="1"/>
      <c r="V85" s="5">
        <f t="shared" si="41"/>
        <v>7.9014409934405295E-4</v>
      </c>
      <c r="W85" s="1"/>
      <c r="X85" s="1">
        <f t="shared" si="42"/>
        <v>835.55</v>
      </c>
      <c r="Y85" s="1"/>
      <c r="Z85" s="5">
        <f t="shared" si="43"/>
        <v>1.3476612903225806</v>
      </c>
    </row>
    <row r="86" spans="1:26" s="24" customFormat="1" hidden="1" outlineLevel="2" x14ac:dyDescent="0.25">
      <c r="A86" s="27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668.12</v>
      </c>
      <c r="Q86" s="2"/>
      <c r="R86" s="7">
        <f t="shared" si="40"/>
        <v>9.5495072960496887E-4</v>
      </c>
      <c r="S86" s="2"/>
      <c r="T86" s="6"/>
      <c r="U86" s="2"/>
      <c r="V86" s="7">
        <f t="shared" si="41"/>
        <v>0</v>
      </c>
      <c r="W86" s="2"/>
      <c r="X86" s="6">
        <f t="shared" si="42"/>
        <v>668.12</v>
      </c>
      <c r="Y86" s="2"/>
      <c r="Z86" s="7">
        <f t="shared" si="43"/>
        <v>0</v>
      </c>
    </row>
    <row r="87" spans="1:26" s="24" customFormat="1" hidden="1" outlineLevel="2" x14ac:dyDescent="0.25">
      <c r="A87" s="27"/>
      <c r="B87" s="11" t="str">
        <f>CONCATENATE("          ", "6241", " - ", "OFFICE EXPENSE")</f>
        <v xml:space="preserve">          6241 - OFFICE EXPENSE</v>
      </c>
      <c r="C87" s="11"/>
      <c r="D87" s="6">
        <v>787.43</v>
      </c>
      <c r="E87" s="2"/>
      <c r="F87" s="7">
        <f t="shared" si="36"/>
        <v>1.6015380362385326E-3</v>
      </c>
      <c r="G87" s="2"/>
      <c r="H87" s="6">
        <v>110</v>
      </c>
      <c r="I87" s="2"/>
      <c r="J87" s="7">
        <f t="shared" si="37"/>
        <v>2.4370628518509491E-4</v>
      </c>
      <c r="K87" s="2"/>
      <c r="L87" s="6">
        <f t="shared" si="38"/>
        <v>677.43</v>
      </c>
      <c r="M87" s="2"/>
      <c r="N87" s="7">
        <f t="shared" si="39"/>
        <v>6.1584545454545454</v>
      </c>
      <c r="O87" s="11"/>
      <c r="P87" s="6">
        <v>787.43</v>
      </c>
      <c r="Q87" s="2"/>
      <c r="R87" s="7">
        <f t="shared" si="40"/>
        <v>1.1254817293492795E-3</v>
      </c>
      <c r="S87" s="2"/>
      <c r="T87" s="6">
        <v>220</v>
      </c>
      <c r="U87" s="2"/>
      <c r="V87" s="7">
        <f t="shared" si="41"/>
        <v>2.8037371267047043E-4</v>
      </c>
      <c r="W87" s="2"/>
      <c r="X87" s="6">
        <f t="shared" si="42"/>
        <v>567.42999999999995</v>
      </c>
      <c r="Y87" s="2"/>
      <c r="Z87" s="7">
        <f t="shared" si="43"/>
        <v>2.5792272727272727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/>
      <c r="E88" s="2"/>
      <c r="F88" s="7">
        <f t="shared" si="36"/>
        <v>0</v>
      </c>
      <c r="G88" s="2"/>
      <c r="H88" s="6">
        <v>200</v>
      </c>
      <c r="I88" s="2"/>
      <c r="J88" s="7">
        <f t="shared" si="37"/>
        <v>4.4310233670017259E-4</v>
      </c>
      <c r="K88" s="2"/>
      <c r="L88" s="6">
        <f t="shared" si="38"/>
        <v>-200</v>
      </c>
      <c r="M88" s="2"/>
      <c r="N88" s="7">
        <f t="shared" si="39"/>
        <v>-1</v>
      </c>
      <c r="O88" s="11"/>
      <c r="P88" s="6"/>
      <c r="Q88" s="2"/>
      <c r="R88" s="7">
        <f t="shared" si="40"/>
        <v>0</v>
      </c>
      <c r="S88" s="2"/>
      <c r="T88" s="6">
        <v>400</v>
      </c>
      <c r="U88" s="2"/>
      <c r="V88" s="7">
        <f t="shared" si="41"/>
        <v>5.0977038667358258E-4</v>
      </c>
      <c r="W88" s="2"/>
      <c r="X88" s="6">
        <f t="shared" si="42"/>
        <v>-400</v>
      </c>
      <c r="Y88" s="2"/>
      <c r="Z88" s="7">
        <f t="shared" si="43"/>
        <v>-1</v>
      </c>
    </row>
    <row r="89" spans="1:26" s="29" customFormat="1" outlineLevel="1" collapsed="1" x14ac:dyDescent="0.25">
      <c r="A89" s="28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SUM(OSRRefD22_11x_0)</f>
        <v>306.75</v>
      </c>
      <c r="E89" s="1"/>
      <c r="F89" s="5">
        <f t="shared" ref="F89:F90" si="44">IF(D$12=0,0,D89/D$12)</f>
        <v>6.2389265409772284E-4</v>
      </c>
      <c r="G89" s="1"/>
      <c r="H89" s="1">
        <f>SUM(OSRRefH22_11x_0)</f>
        <v>250</v>
      </c>
      <c r="I89" s="1"/>
      <c r="J89" s="5">
        <f t="shared" ref="J89:J90" si="45">IF(H$12=0,0,H89/H$12)</f>
        <v>5.5387792087521575E-4</v>
      </c>
      <c r="K89" s="1"/>
      <c r="L89" s="1">
        <f t="shared" ref="L89:L90" si="46">+D89-H89</f>
        <v>56.75</v>
      </c>
      <c r="M89" s="1"/>
      <c r="N89" s="5">
        <f t="shared" ref="N89:N90" si="47">IF(H89=0,0,L89/H89)</f>
        <v>0.22700000000000001</v>
      </c>
      <c r="O89" s="14"/>
      <c r="P89" s="1">
        <f>SUM(OSRRefP22_11x_0)</f>
        <v>611.54999999999995</v>
      </c>
      <c r="Q89" s="1"/>
      <c r="R89" s="5">
        <f t="shared" ref="R89:R90" si="48">IF(P$12=0,0,P89/P$12)</f>
        <v>8.7409465169418468E-4</v>
      </c>
      <c r="S89" s="1"/>
      <c r="T89" s="1">
        <f>SUM(OSRRefT22_11x_0)</f>
        <v>510</v>
      </c>
      <c r="U89" s="1"/>
      <c r="V89" s="5">
        <f t="shared" ref="V89:V90" si="49">IF(T$12=0,0,T89/T$12)</f>
        <v>6.4995724300881776E-4</v>
      </c>
      <c r="W89" s="1"/>
      <c r="X89" s="1">
        <f t="shared" ref="X89:X90" si="50">+P89-T89</f>
        <v>101.54999999999995</v>
      </c>
      <c r="Y89" s="1"/>
      <c r="Z89" s="5">
        <f t="shared" ref="Z89:Z90" si="51">IF(T89=0,0,X89/T89)</f>
        <v>0.19911764705882343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306.75</v>
      </c>
      <c r="E90" s="2"/>
      <c r="F90" s="7">
        <f t="shared" si="44"/>
        <v>6.2389265409772284E-4</v>
      </c>
      <c r="G90" s="2"/>
      <c r="H90" s="6">
        <v>250</v>
      </c>
      <c r="I90" s="2"/>
      <c r="J90" s="7">
        <f t="shared" si="45"/>
        <v>5.5387792087521575E-4</v>
      </c>
      <c r="K90" s="2"/>
      <c r="L90" s="6">
        <f t="shared" si="46"/>
        <v>56.75</v>
      </c>
      <c r="M90" s="2"/>
      <c r="N90" s="7">
        <f t="shared" si="47"/>
        <v>0.22700000000000001</v>
      </c>
      <c r="O90" s="11"/>
      <c r="P90" s="6">
        <v>611.54999999999995</v>
      </c>
      <c r="Q90" s="2"/>
      <c r="R90" s="7">
        <f t="shared" si="48"/>
        <v>8.7409465169418468E-4</v>
      </c>
      <c r="S90" s="2"/>
      <c r="T90" s="6">
        <v>510</v>
      </c>
      <c r="U90" s="2"/>
      <c r="V90" s="7">
        <f t="shared" si="49"/>
        <v>6.4995724300881776E-4</v>
      </c>
      <c r="W90" s="2"/>
      <c r="X90" s="6">
        <f t="shared" si="50"/>
        <v>101.54999999999995</v>
      </c>
      <c r="Y90" s="2"/>
      <c r="Z90" s="7">
        <f t="shared" si="51"/>
        <v>0.19911764705882343</v>
      </c>
    </row>
    <row r="91" spans="1:26" s="61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2" customFormat="1" collapsed="1" x14ac:dyDescent="0.25">
      <c r="A92" s="10"/>
      <c r="B92" s="25" t="s">
        <v>0</v>
      </c>
      <c r="C92" s="10"/>
      <c r="D92" s="4">
        <f>SUM(OSRRefD25x_0)</f>
        <v>-138.80000000000001</v>
      </c>
      <c r="E92" s="4"/>
      <c r="F92" s="12">
        <f t="shared" ref="F92:F94" si="52">IF(D$12=0,0,D92/D$12)</f>
        <v>-2.8230252775473163E-4</v>
      </c>
      <c r="G92" s="4"/>
      <c r="H92" s="4">
        <f>SUM(OSRRefH25x_0)</f>
        <v>3589</v>
      </c>
      <c r="I92" s="4"/>
      <c r="J92" s="12">
        <f t="shared" ref="J92:J94" si="53">IF(H$12=0,0,H92/H$12)</f>
        <v>7.9514714320845972E-3</v>
      </c>
      <c r="K92" s="4"/>
      <c r="L92" s="4">
        <f t="shared" ref="L92:L94" si="54">+D92-H92</f>
        <v>-3727.8</v>
      </c>
      <c r="M92" s="4"/>
      <c r="N92" s="12">
        <f t="shared" ref="N92:N94" si="55">IF(H92=0,0,L92/H92)</f>
        <v>-1.0386737252716636</v>
      </c>
      <c r="O92" s="10"/>
      <c r="P92" s="4">
        <f>SUM(OSRRefP25x_0)</f>
        <v>-514.16</v>
      </c>
      <c r="Q92" s="4"/>
      <c r="R92" s="12">
        <f t="shared" ref="R92:R94" si="56">IF(P$12=0,0,P92/P$12)</f>
        <v>-7.3489413149387952E-4</v>
      </c>
      <c r="S92" s="4"/>
      <c r="T92" s="4">
        <f>SUM(OSRRefT25x_0)</f>
        <v>6240</v>
      </c>
      <c r="U92" s="4"/>
      <c r="V92" s="12">
        <f t="shared" ref="V92:V94" si="57">IF(T$12=0,0,T92/T$12)</f>
        <v>7.9524180321078886E-3</v>
      </c>
      <c r="W92" s="4"/>
      <c r="X92" s="4">
        <f t="shared" ref="X92:X94" si="58">+P92-T92</f>
        <v>-6754.16</v>
      </c>
      <c r="Y92" s="4"/>
      <c r="Z92" s="12">
        <f t="shared" ref="Z92:Z94" si="59">IF(T92=0,0,X92/T92)</f>
        <v>-1.082397435897436</v>
      </c>
    </row>
    <row r="93" spans="1:26" s="24" customFormat="1" hidden="1" outlineLevel="1" x14ac:dyDescent="0.25">
      <c r="A93" s="51"/>
      <c r="B93" s="11" t="str">
        <f>CONCATENATE("          ", "4187", " - ", "NON-TAXABLE SALES-COMPUTER REP")</f>
        <v xml:space="preserve">          4187 - NON-TAXABLE SALES-COMPUTER REP</v>
      </c>
      <c r="C93" s="11"/>
      <c r="D93" s="2">
        <f>0</f>
        <v>0</v>
      </c>
      <c r="E93" s="2"/>
      <c r="F93" s="23">
        <f t="shared" si="52"/>
        <v>0</v>
      </c>
      <c r="G93" s="2"/>
      <c r="H93" s="2"/>
      <c r="I93" s="2"/>
      <c r="J93" s="23">
        <f t="shared" si="53"/>
        <v>0</v>
      </c>
      <c r="K93" s="2"/>
      <c r="L93" s="2">
        <f t="shared" si="54"/>
        <v>0</v>
      </c>
      <c r="M93" s="2"/>
      <c r="N93" s="23">
        <f t="shared" si="55"/>
        <v>0</v>
      </c>
      <c r="O93" s="11"/>
      <c r="P93" s="2">
        <f>--19.99</f>
        <v>19.989999999999998</v>
      </c>
      <c r="Q93" s="2"/>
      <c r="R93" s="23">
        <f t="shared" si="56"/>
        <v>2.8571910861526861E-5</v>
      </c>
      <c r="S93" s="2"/>
      <c r="T93" s="2"/>
      <c r="U93" s="2"/>
      <c r="V93" s="23">
        <f t="shared" si="57"/>
        <v>0</v>
      </c>
      <c r="W93" s="2"/>
      <c r="X93" s="2">
        <f t="shared" si="58"/>
        <v>19.989999999999998</v>
      </c>
      <c r="Y93" s="2"/>
      <c r="Z93" s="23">
        <f t="shared" si="59"/>
        <v>0</v>
      </c>
    </row>
    <row r="94" spans="1:26" s="24" customFormat="1" hidden="1" outlineLevel="1" x14ac:dyDescent="0.25">
      <c r="A94" s="51"/>
      <c r="B94" s="11" t="str">
        <f>CONCATENATE("          ", "9150", " - ", "MISC. INCOME")</f>
        <v xml:space="preserve">          9150 - MISC. INCOME</v>
      </c>
      <c r="C94" s="11"/>
      <c r="D94" s="2">
        <f>-138.8</f>
        <v>-138.80000000000001</v>
      </c>
      <c r="E94" s="2"/>
      <c r="F94" s="23">
        <f t="shared" si="52"/>
        <v>-2.8230252775473163E-4</v>
      </c>
      <c r="G94" s="2"/>
      <c r="H94" s="2">
        <v>3589</v>
      </c>
      <c r="I94" s="2"/>
      <c r="J94" s="23">
        <f t="shared" si="53"/>
        <v>7.9514714320845972E-3</v>
      </c>
      <c r="K94" s="2"/>
      <c r="L94" s="2">
        <f t="shared" si="54"/>
        <v>-3727.8</v>
      </c>
      <c r="M94" s="2"/>
      <c r="N94" s="23">
        <f t="shared" si="55"/>
        <v>-1.0386737252716636</v>
      </c>
      <c r="O94" s="11"/>
      <c r="P94" s="2">
        <f>-534.15</f>
        <v>-534.15</v>
      </c>
      <c r="Q94" s="2"/>
      <c r="R94" s="23">
        <f t="shared" si="56"/>
        <v>-7.6346604235540637E-4</v>
      </c>
      <c r="S94" s="2"/>
      <c r="T94" s="2">
        <v>6240</v>
      </c>
      <c r="U94" s="2"/>
      <c r="V94" s="23">
        <f t="shared" si="57"/>
        <v>7.9524180321078886E-3</v>
      </c>
      <c r="W94" s="2"/>
      <c r="X94" s="2">
        <f t="shared" si="58"/>
        <v>-6774.15</v>
      </c>
      <c r="Y94" s="2"/>
      <c r="Z94" s="23">
        <f t="shared" si="59"/>
        <v>-1.0856009615384614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2" customFormat="1" x14ac:dyDescent="0.25">
      <c r="A96" s="10"/>
      <c r="B96" s="26" t="s">
        <v>3</v>
      </c>
      <c r="C96" s="26"/>
      <c r="D96" s="21">
        <f>+D43-D45+D92</f>
        <v>-2067.4899999999461</v>
      </c>
      <c r="E96" s="13"/>
      <c r="F96" s="20">
        <f>IF(D$12=0,0,D96/D$12)</f>
        <v>-4.2050263192191274E-3</v>
      </c>
      <c r="G96" s="13"/>
      <c r="H96" s="21">
        <f>+H43-H45+H92</f>
        <v>81607.737917153849</v>
      </c>
      <c r="I96" s="13"/>
      <c r="J96" s="20">
        <f>IF(H$12=0,0,H96/H$12)</f>
        <v>0.18080289681953074</v>
      </c>
      <c r="K96" s="16"/>
      <c r="L96" s="21">
        <f>+D96-H96</f>
        <v>-83675.227917153796</v>
      </c>
      <c r="M96" s="16"/>
      <c r="N96" s="20">
        <f>IF(H96=0,0,L96/H96)</f>
        <v>-1.0253344848511645</v>
      </c>
      <c r="O96" s="25"/>
      <c r="P96" s="21">
        <f>+P43-P45+P92</f>
        <v>9788.5600000001759</v>
      </c>
      <c r="Q96" s="13"/>
      <c r="R96" s="20">
        <f>IF(P$12=0,0,P96/P$12)</f>
        <v>1.3990888633452346E-2</v>
      </c>
      <c r="S96" s="13"/>
      <c r="T96" s="21">
        <f>+T43-T45+T92</f>
        <v>138121.02364859614</v>
      </c>
      <c r="U96" s="13"/>
      <c r="V96" s="20">
        <f>IF(T$12=0,0,T96/T$12)</f>
        <v>0.17602501908273974</v>
      </c>
      <c r="W96" s="16"/>
      <c r="X96" s="21">
        <f>+P96-T96</f>
        <v>-128332.46364859596</v>
      </c>
      <c r="Y96" s="16"/>
      <c r="Z96" s="20">
        <f>IF(T96=0,0,X96/T96)</f>
        <v>-0.9291305570909757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2" customFormat="1" x14ac:dyDescent="0.25">
      <c r="A98" s="52"/>
      <c r="B98" s="10" t="s">
        <v>14</v>
      </c>
      <c r="C98" s="10"/>
      <c r="D98" s="4">
        <v>17925.129999999997</v>
      </c>
      <c r="E98" s="4"/>
      <c r="F98" s="12">
        <f>IF(D$12=0,0,D98/D$12)</f>
        <v>3.6457561306427751E-2</v>
      </c>
      <c r="G98" s="4"/>
      <c r="H98" s="4">
        <v>-33766</v>
      </c>
      <c r="I98" s="4"/>
      <c r="J98" s="12">
        <f>IF(H$12=0,0,H98/H$12)</f>
        <v>-7.480896750509014E-2</v>
      </c>
      <c r="K98" s="4"/>
      <c r="L98" s="4">
        <f>+D98-H98</f>
        <v>51691.13</v>
      </c>
      <c r="M98" s="4"/>
      <c r="N98" s="12">
        <f>IF(H98=0,0,L98/H98)</f>
        <v>-1.5308632944381921</v>
      </c>
      <c r="O98" s="10"/>
      <c r="P98" s="4">
        <v>118124.60999999999</v>
      </c>
      <c r="Q98" s="4"/>
      <c r="R98" s="12">
        <f>IF(P$12=0,0,P98/P$12)</f>
        <v>0.16883670972849546</v>
      </c>
      <c r="S98" s="4"/>
      <c r="T98" s="4">
        <v>128139</v>
      </c>
      <c r="U98" s="4"/>
      <c r="V98" s="12">
        <f>IF(T$12=0,0,T98/T$12)</f>
        <v>0.16330366894491549</v>
      </c>
      <c r="W98" s="4"/>
      <c r="X98" s="4">
        <f>+P98-T98</f>
        <v>-10014.390000000014</v>
      </c>
      <c r="Y98" s="4"/>
      <c r="Z98" s="12">
        <f>IF(T98=0,0,X98/T98)</f>
        <v>-7.815255308688232E-2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2" customFormat="1" ht="15.75" thickBot="1" x14ac:dyDescent="0.3">
      <c r="A100" s="10"/>
      <c r="B100" s="26" t="s">
        <v>4</v>
      </c>
      <c r="C100" s="26"/>
      <c r="D100" s="33">
        <f>+D96-D98</f>
        <v>-19992.619999999944</v>
      </c>
      <c r="E100" s="13"/>
      <c r="F100" s="31">
        <f>IF(D$12=0,0,D100/D$12)</f>
        <v>-4.0662587625646882E-2</v>
      </c>
      <c r="G100" s="13"/>
      <c r="H100" s="33">
        <f>+H96-H98</f>
        <v>115373.73791715385</v>
      </c>
      <c r="I100" s="13"/>
      <c r="J100" s="31">
        <f>IF(H$12=0,0,H100/H$12)</f>
        <v>0.25561186432462085</v>
      </c>
      <c r="K100" s="16"/>
      <c r="L100" s="33">
        <f>D100-H100</f>
        <v>-135366.3579171538</v>
      </c>
      <c r="M100" s="16"/>
      <c r="N100" s="31">
        <f>IF(H100=0,0,L100/H100)</f>
        <v>-1.1732857092170839</v>
      </c>
      <c r="O100" s="25"/>
      <c r="P100" s="33">
        <f>+P96-P98</f>
        <v>-108336.04999999981</v>
      </c>
      <c r="Q100" s="13"/>
      <c r="R100" s="31">
        <f>IF(P$12=0,0,P100/P$12)</f>
        <v>-0.15484582109504311</v>
      </c>
      <c r="S100" s="13"/>
      <c r="T100" s="33">
        <f>+T96-T98</f>
        <v>9982.0236485961359</v>
      </c>
      <c r="U100" s="13"/>
      <c r="V100" s="31">
        <f>IF(T$12=0,0,T100/T$12)</f>
        <v>1.2721350137824244E-2</v>
      </c>
      <c r="W100" s="16"/>
      <c r="X100" s="33">
        <f>P100-T100</f>
        <v>-118318.07364859595</v>
      </c>
      <c r="Y100" s="16"/>
      <c r="Z100" s="31">
        <f>IF(T100=0,0,X100/T100)</f>
        <v>-11.853114940800216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2" customFormat="1" ht="15.75" thickBot="1" x14ac:dyDescent="0.3">
      <c r="A103" s="10"/>
      <c r="B103" s="26" t="s">
        <v>5</v>
      </c>
      <c r="C103" s="26"/>
      <c r="D103" s="32">
        <f>SUM(D100:D102)</f>
        <v>-19992.619999999944</v>
      </c>
      <c r="E103" s="13"/>
      <c r="F103" s="35">
        <f>IF(D$12=0,0,D103/D$12)</f>
        <v>-4.0662587625646882E-2</v>
      </c>
      <c r="G103" s="13"/>
      <c r="H103" s="32">
        <f>SUM(H100:H102)</f>
        <v>115373.73791715385</v>
      </c>
      <c r="I103" s="13"/>
      <c r="J103" s="35">
        <f>IF(H$12=0,0,H103/H$12)</f>
        <v>0.25561186432462085</v>
      </c>
      <c r="K103" s="16"/>
      <c r="L103" s="32">
        <f>+D103-H103</f>
        <v>-135366.3579171538</v>
      </c>
      <c r="M103" s="16"/>
      <c r="N103" s="35">
        <f>IF(H103=0,0,L103/H103)</f>
        <v>-1.1732857092170839</v>
      </c>
      <c r="O103" s="25"/>
      <c r="P103" s="32">
        <f>SUM(P100:P102)</f>
        <v>-108336.04999999981</v>
      </c>
      <c r="Q103" s="13"/>
      <c r="R103" s="35">
        <f>IF(P$12=0,0,P103/P$12)</f>
        <v>-0.15484582109504311</v>
      </c>
      <c r="S103" s="13"/>
      <c r="T103" s="32">
        <f>SUM(T100:T102)</f>
        <v>9982.0236485961359</v>
      </c>
      <c r="U103" s="13"/>
      <c r="V103" s="35">
        <f>IF(T$12=0,0,T103/T$12)</f>
        <v>1.2721350137824244E-2</v>
      </c>
      <c r="W103" s="16"/>
      <c r="X103" s="32">
        <f>+P103-T103</f>
        <v>-118318.07364859595</v>
      </c>
      <c r="Y103" s="16"/>
      <c r="Z103" s="35">
        <f>IF(T103=0,0,X103/T103)</f>
        <v>-11.853114940800216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9">
        <v>44113.689149571757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2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3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","317", " - ", "Computer Store")</f>
        <v>Department 317 - Computer 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491671.12000000005</v>
      </c>
      <c r="E12" s="4"/>
      <c r="F12" s="12"/>
      <c r="G12" s="4"/>
      <c r="H12" s="4">
        <f>SUM(OSRRefH13x_0)</f>
        <v>451363</v>
      </c>
      <c r="I12" s="4"/>
      <c r="J12" s="12"/>
      <c r="K12" s="4"/>
      <c r="L12" s="4">
        <f t="shared" ref="L12:L29" si="0">+D12-H12</f>
        <v>40308.120000000054</v>
      </c>
      <c r="M12" s="4"/>
      <c r="N12" s="12">
        <f t="shared" ref="N12:N29" si="1">IF(H12=0,0,L12/H12)</f>
        <v>8.9303110799954927E-2</v>
      </c>
      <c r="O12" s="10"/>
      <c r="P12" s="4">
        <f>SUM(OSRRefP13x_0)</f>
        <v>699638.19000000018</v>
      </c>
      <c r="Q12" s="4"/>
      <c r="R12" s="12"/>
      <c r="S12" s="4"/>
      <c r="T12" s="4">
        <f>SUM(OSRRefT13x_0)</f>
        <v>784667</v>
      </c>
      <c r="U12" s="4"/>
      <c r="V12" s="12"/>
      <c r="W12" s="4"/>
      <c r="X12" s="4">
        <f t="shared" ref="X12:X29" si="2">+P12-T12</f>
        <v>-85028.809999999823</v>
      </c>
      <c r="Y12" s="4"/>
      <c r="Z12" s="12">
        <f t="shared" ref="Z12:Z29" si="3">IF(T12=0,0,X12/T12)</f>
        <v>-0.10836292338023623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-803.28</f>
        <v>-803.28</v>
      </c>
      <c r="E13" s="2"/>
      <c r="F13" s="23"/>
      <c r="G13" s="2"/>
      <c r="H13" s="2">
        <v>427552</v>
      </c>
      <c r="I13" s="2"/>
      <c r="J13" s="23"/>
      <c r="K13" s="2"/>
      <c r="L13" s="2">
        <f t="shared" si="0"/>
        <v>-428355.28</v>
      </c>
      <c r="M13" s="2"/>
      <c r="N13" s="23">
        <f t="shared" si="1"/>
        <v>-1.0018787890127985</v>
      </c>
      <c r="O13" s="11"/>
      <c r="P13" s="2">
        <f>-1174.19</f>
        <v>-1174.19</v>
      </c>
      <c r="Q13" s="2"/>
      <c r="R13" s="23"/>
      <c r="S13" s="2"/>
      <c r="T13" s="2">
        <v>749125</v>
      </c>
      <c r="U13" s="2"/>
      <c r="V13" s="23"/>
      <c r="W13" s="2"/>
      <c r="X13" s="2">
        <f t="shared" si="2"/>
        <v>-750299.19</v>
      </c>
      <c r="Y13" s="2"/>
      <c r="Z13" s="23">
        <f t="shared" si="3"/>
        <v>-1.0015674153178709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--16305.86</f>
        <v>16305.86</v>
      </c>
      <c r="E14" s="2"/>
      <c r="F14" s="23"/>
      <c r="G14" s="2"/>
      <c r="H14" s="2"/>
      <c r="I14" s="2"/>
      <c r="J14" s="23"/>
      <c r="K14" s="2"/>
      <c r="L14" s="2">
        <f t="shared" si="0"/>
        <v>16305.86</v>
      </c>
      <c r="M14" s="2"/>
      <c r="N14" s="23">
        <f t="shared" si="1"/>
        <v>0</v>
      </c>
      <c r="O14" s="11"/>
      <c r="P14" s="2">
        <f>--37863.02</f>
        <v>37863.019999999997</v>
      </c>
      <c r="Q14" s="2"/>
      <c r="R14" s="23"/>
      <c r="S14" s="2"/>
      <c r="T14" s="2"/>
      <c r="U14" s="2"/>
      <c r="V14" s="23"/>
      <c r="W14" s="2"/>
      <c r="X14" s="2">
        <f t="shared" si="2"/>
        <v>37863.019999999997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--403983.14</f>
        <v>403983.14</v>
      </c>
      <c r="E15" s="2"/>
      <c r="F15" s="23"/>
      <c r="G15" s="2"/>
      <c r="H15" s="2"/>
      <c r="I15" s="2"/>
      <c r="J15" s="23"/>
      <c r="K15" s="2"/>
      <c r="L15" s="2">
        <f t="shared" si="0"/>
        <v>403983.14</v>
      </c>
      <c r="M15" s="2"/>
      <c r="N15" s="23">
        <f t="shared" si="1"/>
        <v>0</v>
      </c>
      <c r="O15" s="11"/>
      <c r="P15" s="2">
        <f>--541212.01</f>
        <v>541212.01</v>
      </c>
      <c r="Q15" s="2"/>
      <c r="R15" s="23"/>
      <c r="S15" s="2"/>
      <c r="T15" s="2"/>
      <c r="U15" s="2"/>
      <c r="V15" s="23"/>
      <c r="W15" s="2"/>
      <c r="X15" s="2">
        <f t="shared" si="2"/>
        <v>541212.01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--42925.21</f>
        <v>42925.21</v>
      </c>
      <c r="E16" s="2"/>
      <c r="F16" s="23"/>
      <c r="G16" s="2"/>
      <c r="H16" s="2"/>
      <c r="I16" s="2"/>
      <c r="J16" s="23"/>
      <c r="K16" s="2"/>
      <c r="L16" s="2">
        <f t="shared" si="0"/>
        <v>42925.21</v>
      </c>
      <c r="M16" s="2"/>
      <c r="N16" s="23">
        <f t="shared" si="1"/>
        <v>0</v>
      </c>
      <c r="O16" s="11"/>
      <c r="P16" s="2">
        <f>--49715.36</f>
        <v>49715.360000000001</v>
      </c>
      <c r="Q16" s="2"/>
      <c r="R16" s="23"/>
      <c r="S16" s="2"/>
      <c r="T16" s="2"/>
      <c r="U16" s="2"/>
      <c r="V16" s="23"/>
      <c r="W16" s="2"/>
      <c r="X16" s="2">
        <f t="shared" si="2"/>
        <v>49715.360000000001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--129</f>
        <v>129</v>
      </c>
      <c r="E17" s="2"/>
      <c r="F17" s="23"/>
      <c r="G17" s="2"/>
      <c r="H17" s="2"/>
      <c r="I17" s="2"/>
      <c r="J17" s="23"/>
      <c r="K17" s="2"/>
      <c r="L17" s="2">
        <f t="shared" si="0"/>
        <v>129</v>
      </c>
      <c r="M17" s="2"/>
      <c r="N17" s="23">
        <f t="shared" si="1"/>
        <v>0</v>
      </c>
      <c r="O17" s="11"/>
      <c r="P17" s="2">
        <f>--129</f>
        <v>129</v>
      </c>
      <c r="Q17" s="2"/>
      <c r="R17" s="23"/>
      <c r="S17" s="2"/>
      <c r="T17" s="2"/>
      <c r="U17" s="2"/>
      <c r="V17" s="23"/>
      <c r="W17" s="2"/>
      <c r="X17" s="2">
        <f t="shared" si="2"/>
        <v>129</v>
      </c>
      <c r="Y17" s="2"/>
      <c r="Z17" s="23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--1308.27</f>
        <v>1308.27</v>
      </c>
      <c r="E18" s="2"/>
      <c r="F18" s="23"/>
      <c r="G18" s="2"/>
      <c r="H18" s="2"/>
      <c r="I18" s="2"/>
      <c r="J18" s="23"/>
      <c r="K18" s="2"/>
      <c r="L18" s="2">
        <f t="shared" si="0"/>
        <v>1308.27</v>
      </c>
      <c r="M18" s="2"/>
      <c r="N18" s="23">
        <f t="shared" si="1"/>
        <v>0</v>
      </c>
      <c r="O18" s="11"/>
      <c r="P18" s="2">
        <f>--27267.48</f>
        <v>27267.48</v>
      </c>
      <c r="Q18" s="2"/>
      <c r="R18" s="23"/>
      <c r="S18" s="2"/>
      <c r="T18" s="2"/>
      <c r="U18" s="2"/>
      <c r="V18" s="23"/>
      <c r="W18" s="2"/>
      <c r="X18" s="2">
        <f t="shared" si="2"/>
        <v>27267.48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3"/>
      <c r="G19" s="2"/>
      <c r="H19" s="2">
        <v>23811</v>
      </c>
      <c r="I19" s="2"/>
      <c r="J19" s="23"/>
      <c r="K19" s="2"/>
      <c r="L19" s="2">
        <f t="shared" si="0"/>
        <v>-23811</v>
      </c>
      <c r="M19" s="2"/>
      <c r="N19" s="23">
        <f t="shared" si="1"/>
        <v>-1</v>
      </c>
      <c r="O19" s="11"/>
      <c r="P19" s="2">
        <f>0</f>
        <v>0</v>
      </c>
      <c r="Q19" s="2"/>
      <c r="R19" s="23"/>
      <c r="S19" s="2"/>
      <c r="T19" s="2">
        <v>35542</v>
      </c>
      <c r="U19" s="2"/>
      <c r="V19" s="23"/>
      <c r="W19" s="2"/>
      <c r="X19" s="2">
        <f t="shared" si="2"/>
        <v>-35542</v>
      </c>
      <c r="Y19" s="2"/>
      <c r="Z19" s="23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--2349.29</f>
        <v>2349.29</v>
      </c>
      <c r="E20" s="2"/>
      <c r="F20" s="23"/>
      <c r="G20" s="2"/>
      <c r="H20" s="2"/>
      <c r="I20" s="2"/>
      <c r="J20" s="23"/>
      <c r="K20" s="2"/>
      <c r="L20" s="2">
        <f t="shared" si="0"/>
        <v>2349.29</v>
      </c>
      <c r="M20" s="2"/>
      <c r="N20" s="23">
        <f t="shared" si="1"/>
        <v>0</v>
      </c>
      <c r="O20" s="11"/>
      <c r="P20" s="2">
        <f>--2639.27</f>
        <v>2639.27</v>
      </c>
      <c r="Q20" s="2"/>
      <c r="R20" s="23"/>
      <c r="S20" s="2"/>
      <c r="T20" s="2"/>
      <c r="U20" s="2"/>
      <c r="V20" s="23"/>
      <c r="W20" s="2"/>
      <c r="X20" s="2">
        <f t="shared" si="2"/>
        <v>2639.27</v>
      </c>
      <c r="Y20" s="2"/>
      <c r="Z20" s="23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--46190.39</f>
        <v>46190.39</v>
      </c>
      <c r="E21" s="2"/>
      <c r="F21" s="23"/>
      <c r="G21" s="2"/>
      <c r="H21" s="2"/>
      <c r="I21" s="2"/>
      <c r="J21" s="23"/>
      <c r="K21" s="2"/>
      <c r="L21" s="2">
        <f t="shared" si="0"/>
        <v>46190.39</v>
      </c>
      <c r="M21" s="2"/>
      <c r="N21" s="23">
        <f t="shared" si="1"/>
        <v>0</v>
      </c>
      <c r="O21" s="11"/>
      <c r="P21" s="2">
        <f>--82067.38</f>
        <v>82067.38</v>
      </c>
      <c r="Q21" s="2"/>
      <c r="R21" s="23"/>
      <c r="S21" s="2"/>
      <c r="T21" s="2"/>
      <c r="U21" s="2"/>
      <c r="V21" s="23"/>
      <c r="W21" s="2"/>
      <c r="X21" s="2">
        <f t="shared" si="2"/>
        <v>82067.38</v>
      </c>
      <c r="Y21" s="2"/>
      <c r="Z21" s="23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--1759.83</f>
        <v>1759.83</v>
      </c>
      <c r="E22" s="2"/>
      <c r="F22" s="23"/>
      <c r="G22" s="2"/>
      <c r="H22" s="2"/>
      <c r="I22" s="2"/>
      <c r="J22" s="23"/>
      <c r="K22" s="2"/>
      <c r="L22" s="2">
        <f t="shared" si="0"/>
        <v>1759.83</v>
      </c>
      <c r="M22" s="2"/>
      <c r="N22" s="23">
        <f t="shared" si="1"/>
        <v>0</v>
      </c>
      <c r="O22" s="11"/>
      <c r="P22" s="2">
        <f>--3119.68</f>
        <v>3119.68</v>
      </c>
      <c r="Q22" s="2"/>
      <c r="R22" s="23"/>
      <c r="S22" s="2"/>
      <c r="T22" s="2"/>
      <c r="U22" s="2"/>
      <c r="V22" s="23"/>
      <c r="W22" s="2"/>
      <c r="X22" s="2">
        <f t="shared" si="2"/>
        <v>3119.68</v>
      </c>
      <c r="Y22" s="2"/>
      <c r="Z22" s="23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--4610.75</f>
        <v>4610.75</v>
      </c>
      <c r="E23" s="2"/>
      <c r="F23" s="23"/>
      <c r="G23" s="2"/>
      <c r="H23" s="2"/>
      <c r="I23" s="2"/>
      <c r="J23" s="23"/>
      <c r="K23" s="2"/>
      <c r="L23" s="2">
        <f t="shared" si="0"/>
        <v>4610.75</v>
      </c>
      <c r="M23" s="2"/>
      <c r="N23" s="23">
        <f t="shared" si="1"/>
        <v>0</v>
      </c>
      <c r="O23" s="11"/>
      <c r="P23" s="2">
        <f>--10798.49</f>
        <v>10798.49</v>
      </c>
      <c r="Q23" s="2"/>
      <c r="R23" s="23"/>
      <c r="S23" s="2"/>
      <c r="T23" s="2"/>
      <c r="U23" s="2"/>
      <c r="V23" s="23"/>
      <c r="W23" s="2"/>
      <c r="X23" s="2">
        <f t="shared" si="2"/>
        <v>10798.49</v>
      </c>
      <c r="Y23" s="2"/>
      <c r="Z23" s="23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--257.95</f>
        <v>257.95</v>
      </c>
      <c r="E24" s="2"/>
      <c r="F24" s="23"/>
      <c r="G24" s="2"/>
      <c r="H24" s="2"/>
      <c r="I24" s="2"/>
      <c r="J24" s="23"/>
      <c r="K24" s="2"/>
      <c r="L24" s="2">
        <f t="shared" si="0"/>
        <v>257.95</v>
      </c>
      <c r="M24" s="2"/>
      <c r="N24" s="23">
        <f t="shared" si="1"/>
        <v>0</v>
      </c>
      <c r="O24" s="11"/>
      <c r="P24" s="2">
        <f>--412.9</f>
        <v>412.9</v>
      </c>
      <c r="Q24" s="2"/>
      <c r="R24" s="23"/>
      <c r="S24" s="2"/>
      <c r="T24" s="2"/>
      <c r="U24" s="2"/>
      <c r="V24" s="23"/>
      <c r="W24" s="2"/>
      <c r="X24" s="2">
        <f t="shared" si="2"/>
        <v>412.9</v>
      </c>
      <c r="Y24" s="2"/>
      <c r="Z24" s="23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-7424.23</f>
        <v>-7424.23</v>
      </c>
      <c r="E25" s="2"/>
      <c r="F25" s="23"/>
      <c r="G25" s="2"/>
      <c r="H25" s="2"/>
      <c r="I25" s="2"/>
      <c r="J25" s="23"/>
      <c r="K25" s="2"/>
      <c r="L25" s="2">
        <f t="shared" si="0"/>
        <v>-7424.23</v>
      </c>
      <c r="M25" s="2"/>
      <c r="N25" s="23">
        <f t="shared" si="1"/>
        <v>0</v>
      </c>
      <c r="O25" s="11"/>
      <c r="P25" s="2">
        <f>-13716.22</f>
        <v>-13716.22</v>
      </c>
      <c r="Q25" s="2"/>
      <c r="R25" s="23"/>
      <c r="S25" s="2"/>
      <c r="T25" s="2"/>
      <c r="U25" s="2"/>
      <c r="V25" s="23"/>
      <c r="W25" s="2"/>
      <c r="X25" s="2">
        <f t="shared" si="2"/>
        <v>-13716.22</v>
      </c>
      <c r="Y25" s="2"/>
      <c r="Z25" s="23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-15442</f>
        <v>-15442</v>
      </c>
      <c r="E26" s="2"/>
      <c r="F26" s="23"/>
      <c r="G26" s="2"/>
      <c r="H26" s="2"/>
      <c r="I26" s="2"/>
      <c r="J26" s="23"/>
      <c r="K26" s="2"/>
      <c r="L26" s="2">
        <f t="shared" si="0"/>
        <v>-15442</v>
      </c>
      <c r="M26" s="2"/>
      <c r="N26" s="23">
        <f t="shared" si="1"/>
        <v>0</v>
      </c>
      <c r="O26" s="11"/>
      <c r="P26" s="2">
        <f>-33649</f>
        <v>-33649</v>
      </c>
      <c r="Q26" s="2"/>
      <c r="R26" s="23"/>
      <c r="S26" s="2"/>
      <c r="T26" s="2"/>
      <c r="U26" s="2"/>
      <c r="V26" s="23"/>
      <c r="W26" s="2"/>
      <c r="X26" s="2">
        <f t="shared" si="2"/>
        <v>-33649</v>
      </c>
      <c r="Y26" s="2"/>
      <c r="Z26" s="23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-699.9</f>
        <v>-699.9</v>
      </c>
      <c r="E27" s="2"/>
      <c r="F27" s="23"/>
      <c r="G27" s="2"/>
      <c r="H27" s="2"/>
      <c r="I27" s="2"/>
      <c r="J27" s="23"/>
      <c r="K27" s="2"/>
      <c r="L27" s="2">
        <f t="shared" si="0"/>
        <v>-699.9</v>
      </c>
      <c r="M27" s="2"/>
      <c r="N27" s="23">
        <f t="shared" si="1"/>
        <v>0</v>
      </c>
      <c r="O27" s="11"/>
      <c r="P27" s="2">
        <f>-1518.83</f>
        <v>-1518.83</v>
      </c>
      <c r="Q27" s="2"/>
      <c r="R27" s="23"/>
      <c r="S27" s="2"/>
      <c r="T27" s="2"/>
      <c r="U27" s="2"/>
      <c r="V27" s="23"/>
      <c r="W27" s="2"/>
      <c r="X27" s="2">
        <f t="shared" si="2"/>
        <v>-1518.83</v>
      </c>
      <c r="Y27" s="2"/>
      <c r="Z27" s="23">
        <f t="shared" si="3"/>
        <v>0</v>
      </c>
    </row>
    <row r="28" spans="1:26" s="24" customFormat="1" hidden="1" outlineLevel="1" x14ac:dyDescent="0.25">
      <c r="A28" s="51"/>
      <c r="B28" s="11" t="str">
        <f>CONCATENATE("          ", "4286", " - ", "SALES RETURN TAXABLE-COMPUTER")</f>
        <v xml:space="preserve">          4286 - SALES RETURN TAXABLE-COMPUTER</v>
      </c>
      <c r="C28" s="11"/>
      <c r="D28" s="2">
        <f>-153.96</f>
        <v>-153.96</v>
      </c>
      <c r="E28" s="2"/>
      <c r="F28" s="23"/>
      <c r="G28" s="2"/>
      <c r="H28" s="2"/>
      <c r="I28" s="2"/>
      <c r="J28" s="23"/>
      <c r="K28" s="2"/>
      <c r="L28" s="2">
        <f t="shared" si="0"/>
        <v>-153.96</v>
      </c>
      <c r="M28" s="2"/>
      <c r="N28" s="23">
        <f t="shared" si="1"/>
        <v>0</v>
      </c>
      <c r="O28" s="11"/>
      <c r="P28" s="2">
        <f>-153.96</f>
        <v>-153.96</v>
      </c>
      <c r="Q28" s="2"/>
      <c r="R28" s="23"/>
      <c r="S28" s="2"/>
      <c r="T28" s="2"/>
      <c r="U28" s="2"/>
      <c r="V28" s="23"/>
      <c r="W28" s="2"/>
      <c r="X28" s="2">
        <f t="shared" si="2"/>
        <v>-153.96</v>
      </c>
      <c r="Y28" s="2"/>
      <c r="Z28" s="23">
        <f t="shared" si="3"/>
        <v>0</v>
      </c>
    </row>
    <row r="29" spans="1:26" s="24" customFormat="1" hidden="1" outlineLevel="1" x14ac:dyDescent="0.25">
      <c r="A29" s="51"/>
      <c r="B29" s="11" t="str">
        <f>CONCATENATE("          ", "4381", " - ", "SALES RETURN NON TAXABLE-ELECT")</f>
        <v xml:space="preserve">          4381 - SALES RETURN NON TAXABLE-ELECT</v>
      </c>
      <c r="C29" s="11"/>
      <c r="D29" s="2">
        <f>-3625.2</f>
        <v>-3625.2</v>
      </c>
      <c r="E29" s="2"/>
      <c r="F29" s="23"/>
      <c r="G29" s="2"/>
      <c r="H29" s="2"/>
      <c r="I29" s="2"/>
      <c r="J29" s="23"/>
      <c r="K29" s="2"/>
      <c r="L29" s="2">
        <f t="shared" si="0"/>
        <v>-3625.2</v>
      </c>
      <c r="M29" s="2"/>
      <c r="N29" s="23">
        <f t="shared" si="1"/>
        <v>0</v>
      </c>
      <c r="O29" s="11"/>
      <c r="P29" s="2">
        <f>-5374.2</f>
        <v>-5374.2</v>
      </c>
      <c r="Q29" s="2"/>
      <c r="R29" s="23"/>
      <c r="S29" s="2"/>
      <c r="T29" s="2"/>
      <c r="U29" s="2"/>
      <c r="V29" s="23"/>
      <c r="W29" s="2"/>
      <c r="X29" s="2">
        <f t="shared" si="2"/>
        <v>-5374.2</v>
      </c>
      <c r="Y29" s="2"/>
      <c r="Z29" s="23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collapsed="1" x14ac:dyDescent="0.25">
      <c r="A31" s="10"/>
      <c r="B31" s="25" t="s">
        <v>8</v>
      </c>
      <c r="C31" s="10"/>
      <c r="D31" s="4">
        <f>SUM(OSRRefD16x_0)</f>
        <v>478464</v>
      </c>
      <c r="E31" s="4"/>
      <c r="F31" s="12">
        <f t="shared" ref="F31:F41" si="4">IF(D$12=0,0,D31/D$12)</f>
        <v>0.97313830432017234</v>
      </c>
      <c r="G31" s="4"/>
      <c r="H31" s="4">
        <f>SUM(OSRRefH16x_0)</f>
        <v>352498</v>
      </c>
      <c r="I31" s="4"/>
      <c r="J31" s="12">
        <f t="shared" ref="J31:J41" si="5">IF(H$12=0,0,H31/H$12)</f>
        <v>0.78096343741068719</v>
      </c>
      <c r="K31" s="4"/>
      <c r="L31" s="4">
        <f t="shared" ref="L31:L41" si="6">+D31-H31</f>
        <v>125966</v>
      </c>
      <c r="M31" s="4"/>
      <c r="N31" s="12">
        <f t="shared" ref="N31:N41" si="7">IF(H31=0,0,L31/H31)</f>
        <v>0.35735238214117526</v>
      </c>
      <c r="O31" s="10"/>
      <c r="P31" s="4">
        <f>SUM(OSRRefP16x_0)</f>
        <v>662420</v>
      </c>
      <c r="Q31" s="4"/>
      <c r="R31" s="12">
        <f t="shared" ref="R31:R41" si="8">IF(P$12=0,0,P31/P$12)</f>
        <v>0.94680366147536887</v>
      </c>
      <c r="S31" s="4"/>
      <c r="T31" s="4">
        <f>SUM(OSRRefT16x_0)</f>
        <v>612796</v>
      </c>
      <c r="U31" s="4"/>
      <c r="V31" s="12">
        <f t="shared" ref="V31:V41" si="9">IF(T$12=0,0,T31/T$12)</f>
        <v>0.78096313468006173</v>
      </c>
      <c r="W31" s="4"/>
      <c r="X31" s="4">
        <f t="shared" ref="X31:X41" si="10">+P31-T31</f>
        <v>49624</v>
      </c>
      <c r="Y31" s="4"/>
      <c r="Z31" s="12">
        <f t="shared" ref="Z31:Z41" si="11">IF(T31=0,0,X31/T31)</f>
        <v>8.0979640859274532E-2</v>
      </c>
    </row>
    <row r="32" spans="1:26" s="24" customFormat="1" hidden="1" outlineLevel="1" x14ac:dyDescent="0.25">
      <c r="A32" s="51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23">
        <f t="shared" si="4"/>
        <v>0</v>
      </c>
      <c r="G32" s="2"/>
      <c r="H32" s="2">
        <v>352498</v>
      </c>
      <c r="I32" s="2"/>
      <c r="J32" s="23">
        <f t="shared" si="5"/>
        <v>0.78096343741068719</v>
      </c>
      <c r="K32" s="2"/>
      <c r="L32" s="2">
        <f t="shared" si="6"/>
        <v>-352498</v>
      </c>
      <c r="M32" s="2"/>
      <c r="N32" s="23">
        <f t="shared" si="7"/>
        <v>-1</v>
      </c>
      <c r="O32" s="11"/>
      <c r="P32" s="2"/>
      <c r="Q32" s="2"/>
      <c r="R32" s="23">
        <f t="shared" si="8"/>
        <v>0</v>
      </c>
      <c r="S32" s="2"/>
      <c r="T32" s="2">
        <v>612796</v>
      </c>
      <c r="U32" s="2"/>
      <c r="V32" s="23">
        <f t="shared" si="9"/>
        <v>0.78096313468006173</v>
      </c>
      <c r="W32" s="2"/>
      <c r="X32" s="2">
        <f t="shared" si="10"/>
        <v>-612796</v>
      </c>
      <c r="Y32" s="2"/>
      <c r="Z32" s="23">
        <f t="shared" si="11"/>
        <v>-1</v>
      </c>
    </row>
    <row r="33" spans="1:26" s="24" customFormat="1" hidden="1" outlineLevel="1" x14ac:dyDescent="0.25">
      <c r="A33" s="51"/>
      <c r="B33" s="11" t="str">
        <f>CONCATENATE("          ", "5081", " - ", "PURCHASES @ COST-ELECTRONICS")</f>
        <v xml:space="preserve">          5081 - PURCHASES @ COST-ELECTRONICS</v>
      </c>
      <c r="C33" s="11"/>
      <c r="D33" s="2">
        <v>745.55</v>
      </c>
      <c r="E33" s="2"/>
      <c r="F33" s="23">
        <f t="shared" si="4"/>
        <v>1.5163591467402028E-3</v>
      </c>
      <c r="G33" s="2"/>
      <c r="H33" s="2"/>
      <c r="I33" s="2"/>
      <c r="J33" s="23">
        <f t="shared" si="5"/>
        <v>0</v>
      </c>
      <c r="K33" s="2"/>
      <c r="L33" s="2">
        <f t="shared" si="6"/>
        <v>745.55</v>
      </c>
      <c r="M33" s="2"/>
      <c r="N33" s="23">
        <f t="shared" si="7"/>
        <v>0</v>
      </c>
      <c r="O33" s="11"/>
      <c r="P33" s="2">
        <v>7422.47</v>
      </c>
      <c r="Q33" s="2"/>
      <c r="R33" s="23">
        <f t="shared" si="8"/>
        <v>1.0609012066651191E-2</v>
      </c>
      <c r="S33" s="2"/>
      <c r="T33" s="2"/>
      <c r="U33" s="2"/>
      <c r="V33" s="23">
        <f t="shared" si="9"/>
        <v>0</v>
      </c>
      <c r="W33" s="2"/>
      <c r="X33" s="2">
        <f t="shared" si="10"/>
        <v>7422.47</v>
      </c>
      <c r="Y33" s="2"/>
      <c r="Z33" s="23">
        <f t="shared" si="11"/>
        <v>0</v>
      </c>
    </row>
    <row r="34" spans="1:26" s="24" customFormat="1" hidden="1" outlineLevel="1" x14ac:dyDescent="0.25">
      <c r="A34" s="51"/>
      <c r="B34" s="11" t="str">
        <f>CONCATENATE("          ", "5082", " - ", "PURCHASES @ COST-COMPUTER HARD")</f>
        <v xml:space="preserve">          5082 - PURCHASES @ COST-COMPUTER HARD</v>
      </c>
      <c r="C34" s="11"/>
      <c r="D34" s="2">
        <v>56751.23</v>
      </c>
      <c r="E34" s="2"/>
      <c r="F34" s="23">
        <f t="shared" si="4"/>
        <v>0.11542518503018846</v>
      </c>
      <c r="G34" s="2"/>
      <c r="H34" s="2"/>
      <c r="I34" s="2"/>
      <c r="J34" s="23">
        <f t="shared" si="5"/>
        <v>0</v>
      </c>
      <c r="K34" s="2"/>
      <c r="L34" s="2">
        <f t="shared" si="6"/>
        <v>56751.23</v>
      </c>
      <c r="M34" s="2"/>
      <c r="N34" s="23">
        <f t="shared" si="7"/>
        <v>0</v>
      </c>
      <c r="O34" s="11"/>
      <c r="P34" s="2">
        <v>243223.8</v>
      </c>
      <c r="Q34" s="2"/>
      <c r="R34" s="23">
        <f t="shared" si="8"/>
        <v>0.34764225777898133</v>
      </c>
      <c r="S34" s="2"/>
      <c r="T34" s="2"/>
      <c r="U34" s="2"/>
      <c r="V34" s="23">
        <f t="shared" si="9"/>
        <v>0</v>
      </c>
      <c r="W34" s="2"/>
      <c r="X34" s="2">
        <f t="shared" si="10"/>
        <v>243223.8</v>
      </c>
      <c r="Y34" s="2"/>
      <c r="Z34" s="23">
        <f t="shared" si="11"/>
        <v>0</v>
      </c>
    </row>
    <row r="35" spans="1:26" s="24" customFormat="1" hidden="1" outlineLevel="1" x14ac:dyDescent="0.25">
      <c r="A35" s="51"/>
      <c r="B35" s="11" t="str">
        <f>CONCATENATE("          ", "5083", " - ", "PURCHASES @ COST-COMPUTER EQUI")</f>
        <v xml:space="preserve">          5083 - PURCHASES @ COST-COMPUTER EQUI</v>
      </c>
      <c r="C35" s="11"/>
      <c r="D35" s="2">
        <v>7340.55</v>
      </c>
      <c r="E35" s="2"/>
      <c r="F35" s="23">
        <f t="shared" si="4"/>
        <v>1.4929796974855873E-2</v>
      </c>
      <c r="G35" s="2"/>
      <c r="H35" s="2"/>
      <c r="I35" s="2"/>
      <c r="J35" s="23">
        <f t="shared" si="5"/>
        <v>0</v>
      </c>
      <c r="K35" s="2"/>
      <c r="L35" s="2">
        <f t="shared" si="6"/>
        <v>7340.55</v>
      </c>
      <c r="M35" s="2"/>
      <c r="N35" s="23">
        <f t="shared" si="7"/>
        <v>0</v>
      </c>
      <c r="O35" s="11"/>
      <c r="P35" s="2">
        <v>37278.85</v>
      </c>
      <c r="Q35" s="2"/>
      <c r="R35" s="23">
        <f t="shared" si="8"/>
        <v>5.328304048125216E-2</v>
      </c>
      <c r="S35" s="2"/>
      <c r="T35" s="2"/>
      <c r="U35" s="2"/>
      <c r="V35" s="23">
        <f t="shared" si="9"/>
        <v>0</v>
      </c>
      <c r="W35" s="2"/>
      <c r="X35" s="2">
        <f t="shared" si="10"/>
        <v>37278.85</v>
      </c>
      <c r="Y35" s="2"/>
      <c r="Z35" s="23">
        <f t="shared" si="11"/>
        <v>0</v>
      </c>
    </row>
    <row r="36" spans="1:26" s="24" customFormat="1" hidden="1" outlineLevel="1" x14ac:dyDescent="0.25">
      <c r="A36" s="51"/>
      <c r="B36" s="11" t="str">
        <f>CONCATENATE("          ", "5085", " - ", "PURCHASES @ COST-SOFTWARE")</f>
        <v xml:space="preserve">          5085 - PURCHASES @ COST-SOFTWARE</v>
      </c>
      <c r="C36" s="11"/>
      <c r="D36" s="2">
        <v>2364.2199999999998</v>
      </c>
      <c r="E36" s="2"/>
      <c r="F36" s="23">
        <f t="shared" si="4"/>
        <v>4.8085394968897088E-3</v>
      </c>
      <c r="G36" s="2"/>
      <c r="H36" s="2"/>
      <c r="I36" s="2"/>
      <c r="J36" s="23">
        <f t="shared" si="5"/>
        <v>0</v>
      </c>
      <c r="K36" s="2"/>
      <c r="L36" s="2">
        <f t="shared" si="6"/>
        <v>2364.2199999999998</v>
      </c>
      <c r="M36" s="2"/>
      <c r="N36" s="23">
        <f t="shared" si="7"/>
        <v>0</v>
      </c>
      <c r="O36" s="11"/>
      <c r="P36" s="2">
        <v>6228.56</v>
      </c>
      <c r="Q36" s="2"/>
      <c r="R36" s="23">
        <f t="shared" si="8"/>
        <v>8.9025443279475616E-3</v>
      </c>
      <c r="S36" s="2"/>
      <c r="T36" s="2"/>
      <c r="U36" s="2"/>
      <c r="V36" s="23">
        <f t="shared" si="9"/>
        <v>0</v>
      </c>
      <c r="W36" s="2"/>
      <c r="X36" s="2">
        <f t="shared" si="10"/>
        <v>6228.56</v>
      </c>
      <c r="Y36" s="2"/>
      <c r="Z36" s="23">
        <f t="shared" si="11"/>
        <v>0</v>
      </c>
    </row>
    <row r="37" spans="1:26" s="24" customFormat="1" hidden="1" outlineLevel="1" x14ac:dyDescent="0.25">
      <c r="A37" s="51"/>
      <c r="B37" s="11" t="str">
        <f>CONCATENATE("          ", "5086", " - ", "PURCHASES @ COST-COMPUTER SUPP")</f>
        <v xml:space="preserve">          5086 - PURCHASES @ COST-COMPUTER SUPP</v>
      </c>
      <c r="C37" s="11"/>
      <c r="D37" s="2">
        <v>21649.96</v>
      </c>
      <c r="E37" s="2"/>
      <c r="F37" s="23">
        <f t="shared" si="4"/>
        <v>4.4033418110870526E-2</v>
      </c>
      <c r="G37" s="2"/>
      <c r="H37" s="2"/>
      <c r="I37" s="2"/>
      <c r="J37" s="23">
        <f t="shared" si="5"/>
        <v>0</v>
      </c>
      <c r="K37" s="2"/>
      <c r="L37" s="2">
        <f t="shared" si="6"/>
        <v>21649.96</v>
      </c>
      <c r="M37" s="2"/>
      <c r="N37" s="23">
        <f t="shared" si="7"/>
        <v>0</v>
      </c>
      <c r="O37" s="11"/>
      <c r="P37" s="2">
        <v>21737.21</v>
      </c>
      <c r="Q37" s="2"/>
      <c r="R37" s="23">
        <f t="shared" si="8"/>
        <v>3.1069215932880957E-2</v>
      </c>
      <c r="S37" s="2"/>
      <c r="T37" s="2"/>
      <c r="U37" s="2"/>
      <c r="V37" s="23">
        <f t="shared" si="9"/>
        <v>0</v>
      </c>
      <c r="W37" s="2"/>
      <c r="X37" s="2">
        <f t="shared" si="10"/>
        <v>21737.21</v>
      </c>
      <c r="Y37" s="2"/>
      <c r="Z37" s="23">
        <f t="shared" si="11"/>
        <v>0</v>
      </c>
    </row>
    <row r="38" spans="1:26" s="24" customFormat="1" hidden="1" outlineLevel="1" x14ac:dyDescent="0.25">
      <c r="A38" s="51"/>
      <c r="B38" s="11" t="str">
        <f>CONCATENATE("          ", "5200", " - ", "PURCHASES OFFSET")</f>
        <v xml:space="preserve">          5200 - PURCHASES OFFSET</v>
      </c>
      <c r="C38" s="11"/>
      <c r="D38" s="2">
        <v>-88875.62999999999</v>
      </c>
      <c r="E38" s="2"/>
      <c r="F38" s="23">
        <f t="shared" si="4"/>
        <v>-0.18076235594232173</v>
      </c>
      <c r="G38" s="2"/>
      <c r="H38" s="2"/>
      <c r="I38" s="2"/>
      <c r="J38" s="23">
        <f t="shared" si="5"/>
        <v>0</v>
      </c>
      <c r="K38" s="2"/>
      <c r="L38" s="2">
        <f t="shared" si="6"/>
        <v>-88875.62999999999</v>
      </c>
      <c r="M38" s="2"/>
      <c r="N38" s="23">
        <f t="shared" si="7"/>
        <v>0</v>
      </c>
      <c r="O38" s="11"/>
      <c r="P38" s="2">
        <v>-315932.40000000002</v>
      </c>
      <c r="Q38" s="2"/>
      <c r="R38" s="23">
        <f t="shared" si="8"/>
        <v>-0.45156540125403954</v>
      </c>
      <c r="S38" s="2"/>
      <c r="T38" s="2"/>
      <c r="U38" s="2"/>
      <c r="V38" s="23">
        <f t="shared" si="9"/>
        <v>0</v>
      </c>
      <c r="W38" s="2"/>
      <c r="X38" s="2">
        <f t="shared" si="10"/>
        <v>-315932.40000000002</v>
      </c>
      <c r="Y38" s="2"/>
      <c r="Z38" s="23">
        <f t="shared" si="11"/>
        <v>0</v>
      </c>
    </row>
    <row r="39" spans="1:26" s="24" customFormat="1" hidden="1" outlineLevel="1" x14ac:dyDescent="0.25">
      <c r="A39" s="51"/>
      <c r="B39" s="11" t="str">
        <f>CONCATENATE("          ", "5300", " - ", "COG$ OFFSET")</f>
        <v xml:space="preserve">          5300 - COG$ OFFSET</v>
      </c>
      <c r="C39" s="11"/>
      <c r="D39" s="2">
        <v>478464</v>
      </c>
      <c r="E39" s="2"/>
      <c r="F39" s="23">
        <f t="shared" si="4"/>
        <v>0.97313830432017234</v>
      </c>
      <c r="G39" s="2"/>
      <c r="H39" s="2"/>
      <c r="I39" s="2"/>
      <c r="J39" s="23">
        <f t="shared" si="5"/>
        <v>0</v>
      </c>
      <c r="K39" s="2"/>
      <c r="L39" s="2">
        <f t="shared" si="6"/>
        <v>478464</v>
      </c>
      <c r="M39" s="2"/>
      <c r="N39" s="23">
        <f t="shared" si="7"/>
        <v>0</v>
      </c>
      <c r="O39" s="11"/>
      <c r="P39" s="2">
        <v>662420</v>
      </c>
      <c r="Q39" s="2"/>
      <c r="R39" s="23">
        <f t="shared" si="8"/>
        <v>0.94680366147536887</v>
      </c>
      <c r="S39" s="2"/>
      <c r="T39" s="2"/>
      <c r="U39" s="2"/>
      <c r="V39" s="23">
        <f t="shared" si="9"/>
        <v>0</v>
      </c>
      <c r="W39" s="2"/>
      <c r="X39" s="2">
        <f t="shared" si="10"/>
        <v>662420</v>
      </c>
      <c r="Y39" s="2"/>
      <c r="Z39" s="23">
        <f t="shared" si="11"/>
        <v>0</v>
      </c>
    </row>
    <row r="40" spans="1:26" s="24" customFormat="1" hidden="1" outlineLevel="1" x14ac:dyDescent="0.25">
      <c r="A40" s="51"/>
      <c r="B40" s="11" t="str">
        <f>CONCATENATE("          ", "5583", " - ", "FREIGHT-IN-COMPUTER EQUIPMENT")</f>
        <v xml:space="preserve">          5583 - FREIGHT-IN-COMPUTER EQUIPMENT</v>
      </c>
      <c r="C40" s="11"/>
      <c r="D40" s="2"/>
      <c r="E40" s="2"/>
      <c r="F40" s="23">
        <f t="shared" si="4"/>
        <v>0</v>
      </c>
      <c r="G40" s="2"/>
      <c r="H40" s="2"/>
      <c r="I40" s="2"/>
      <c r="J40" s="23">
        <f t="shared" si="5"/>
        <v>0</v>
      </c>
      <c r="K40" s="2"/>
      <c r="L40" s="2">
        <f t="shared" si="6"/>
        <v>0</v>
      </c>
      <c r="M40" s="2"/>
      <c r="N40" s="23">
        <f t="shared" si="7"/>
        <v>0</v>
      </c>
      <c r="O40" s="11"/>
      <c r="P40" s="2">
        <v>17.39</v>
      </c>
      <c r="Q40" s="2"/>
      <c r="R40" s="23">
        <f t="shared" si="8"/>
        <v>2.4855704346270742E-5</v>
      </c>
      <c r="S40" s="2"/>
      <c r="T40" s="2"/>
      <c r="U40" s="2"/>
      <c r="V40" s="23">
        <f t="shared" si="9"/>
        <v>0</v>
      </c>
      <c r="W40" s="2"/>
      <c r="X40" s="2">
        <f t="shared" si="10"/>
        <v>17.39</v>
      </c>
      <c r="Y40" s="2"/>
      <c r="Z40" s="23">
        <f t="shared" si="11"/>
        <v>0</v>
      </c>
    </row>
    <row r="41" spans="1:26" s="24" customFormat="1" hidden="1" outlineLevel="1" x14ac:dyDescent="0.25">
      <c r="A41" s="51"/>
      <c r="B41" s="11" t="str">
        <f>CONCATENATE("          ", "5586", " - ", "FREIGHT-IN-COMPUTER SUPPLIES")</f>
        <v xml:space="preserve">          5586 - FREIGHT-IN-COMPUTER SUPPLIES</v>
      </c>
      <c r="C41" s="11"/>
      <c r="D41" s="2">
        <v>24.12</v>
      </c>
      <c r="E41" s="2"/>
      <c r="F41" s="23">
        <f t="shared" si="4"/>
        <v>4.905718277697498E-5</v>
      </c>
      <c r="G41" s="2"/>
      <c r="H41" s="2"/>
      <c r="I41" s="2"/>
      <c r="J41" s="23">
        <f t="shared" si="5"/>
        <v>0</v>
      </c>
      <c r="K41" s="2"/>
      <c r="L41" s="2">
        <f t="shared" si="6"/>
        <v>24.12</v>
      </c>
      <c r="M41" s="2"/>
      <c r="N41" s="23">
        <f t="shared" si="7"/>
        <v>0</v>
      </c>
      <c r="O41" s="11"/>
      <c r="P41" s="2">
        <v>24.12</v>
      </c>
      <c r="Q41" s="2"/>
      <c r="R41" s="23">
        <f t="shared" si="8"/>
        <v>3.4474961979991395E-5</v>
      </c>
      <c r="S41" s="2"/>
      <c r="T41" s="2"/>
      <c r="U41" s="2"/>
      <c r="V41" s="23">
        <f t="shared" si="9"/>
        <v>0</v>
      </c>
      <c r="W41" s="2"/>
      <c r="X41" s="2">
        <f t="shared" si="10"/>
        <v>24.12</v>
      </c>
      <c r="Y41" s="2"/>
      <c r="Z41" s="23">
        <f t="shared" si="11"/>
        <v>0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2" customFormat="1" x14ac:dyDescent="0.25">
      <c r="A43" s="10"/>
      <c r="B43" s="26" t="s">
        <v>6</v>
      </c>
      <c r="C43" s="26"/>
      <c r="D43" s="21">
        <f>D12-D31</f>
        <v>13207.120000000054</v>
      </c>
      <c r="E43" s="13"/>
      <c r="F43" s="20">
        <f>IF(D$12=0,0,D43/D$12)</f>
        <v>2.6861695679827709E-2</v>
      </c>
      <c r="G43" s="13"/>
      <c r="H43" s="21">
        <f>H12-H31</f>
        <v>98865</v>
      </c>
      <c r="I43" s="13"/>
      <c r="J43" s="20">
        <f>IF(H$12=0,0,H43/H$12)</f>
        <v>0.21903656258931281</v>
      </c>
      <c r="K43" s="16"/>
      <c r="L43" s="21">
        <f>+D43-H43</f>
        <v>-85657.879999999946</v>
      </c>
      <c r="M43" s="16"/>
      <c r="N43" s="20">
        <f>IF(H43=0,0,L43/H43)</f>
        <v>-0.86641258281494915</v>
      </c>
      <c r="O43" s="25"/>
      <c r="P43" s="21">
        <f>P12-P31</f>
        <v>37218.190000000177</v>
      </c>
      <c r="Q43" s="13"/>
      <c r="R43" s="20">
        <f>IF(P$12=0,0,P43/P$12)</f>
        <v>5.3196338524631091E-2</v>
      </c>
      <c r="S43" s="13"/>
      <c r="T43" s="21">
        <f>T12-T31</f>
        <v>171871</v>
      </c>
      <c r="U43" s="13"/>
      <c r="V43" s="20">
        <f>IF(T$12=0,0,T43/T$12)</f>
        <v>0.21903686531993827</v>
      </c>
      <c r="W43" s="16"/>
      <c r="X43" s="21">
        <f>+P43-T43</f>
        <v>-134652.80999999982</v>
      </c>
      <c r="Y43" s="16"/>
      <c r="Z43" s="20">
        <f>IF(T43=0,0,X43/T43)</f>
        <v>-0.78345276399159736</v>
      </c>
    </row>
    <row r="44" spans="1:26" x14ac:dyDescent="0.25">
      <c r="A44" s="9"/>
      <c r="B44" s="10"/>
      <c r="C44" s="9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6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2" customFormat="1" x14ac:dyDescent="0.25">
      <c r="A45" s="10"/>
      <c r="B45" s="25" t="s">
        <v>9</v>
      </c>
      <c r="C45" s="10"/>
      <c r="D45" s="19">
        <f>SUM(OSRRefD22x_0)</f>
        <v>15135.81</v>
      </c>
      <c r="E45" s="19"/>
      <c r="F45" s="30">
        <f t="shared" ref="F45:F56" si="12">IF(D$12=0,0,D45/D$12)</f>
        <v>3.0784419471292106E-2</v>
      </c>
      <c r="G45" s="19"/>
      <c r="H45" s="19">
        <f>SUM(OSRRefH22x_0)</f>
        <v>20846.262082846151</v>
      </c>
      <c r="I45" s="19"/>
      <c r="J45" s="30">
        <f t="shared" ref="J45:J56" si="13">IF(H$12=0,0,H45/H$12)</f>
        <v>4.6185137201866684E-2</v>
      </c>
      <c r="K45" s="4"/>
      <c r="L45" s="19">
        <f t="shared" ref="L45:L56" si="14">+D45-H45</f>
        <v>-5710.4520828461518</v>
      </c>
      <c r="M45" s="4"/>
      <c r="N45" s="30">
        <f t="shared" ref="N45:N56" si="15">IF(H45=0,0,L45/H45)</f>
        <v>-0.27393170344649626</v>
      </c>
      <c r="O45" s="10"/>
      <c r="P45" s="19">
        <f>SUM(OSRRefP22x_0)</f>
        <v>26915.47</v>
      </c>
      <c r="Q45" s="19"/>
      <c r="R45" s="30">
        <f t="shared" ref="R45:R56" si="16">IF(P$12=0,0,P45/P$12)</f>
        <v>3.8470555759684867E-2</v>
      </c>
      <c r="S45" s="19"/>
      <c r="T45" s="19">
        <f>SUM(OSRRefT22x_0)</f>
        <v>39989.97635140385</v>
      </c>
      <c r="U45" s="19"/>
      <c r="V45" s="30">
        <f t="shared" ref="V45:V56" si="17">IF(T$12=0,0,T45/T$12)</f>
        <v>5.0964264269306406E-2</v>
      </c>
      <c r="W45" s="4"/>
      <c r="X45" s="19">
        <f t="shared" ref="X45:X56" si="18">+P45-T45</f>
        <v>-13074.506351403848</v>
      </c>
      <c r="Y45" s="4"/>
      <c r="Z45" s="30">
        <f t="shared" ref="Z45:Z56" si="19">IF(T45=0,0,X45/T45)</f>
        <v>-0.32694458822666617</v>
      </c>
    </row>
    <row r="46" spans="1:26" s="29" customFormat="1" outlineLevel="1" collapsed="1" x14ac:dyDescent="0.25">
      <c r="A46" s="28"/>
      <c r="B46" s="14" t="str">
        <f>CONCATENATE("     ","*Benefits                                         ")</f>
        <v xml:space="preserve">     *Benefits                                         </v>
      </c>
      <c r="C46" s="14"/>
      <c r="D46" s="1">
        <f>SUM(OSRRefD22_0x_0)</f>
        <v>2843.1500000000005</v>
      </c>
      <c r="E46" s="1"/>
      <c r="F46" s="5">
        <f t="shared" si="12"/>
        <v>5.7826255892353415E-3</v>
      </c>
      <c r="G46" s="1"/>
      <c r="H46" s="1">
        <f>SUM(OSRRefH22_0x_0)</f>
        <v>2614.1370828461536</v>
      </c>
      <c r="I46" s="1"/>
      <c r="J46" s="5">
        <f t="shared" si="13"/>
        <v>5.7916512493185164E-3</v>
      </c>
      <c r="K46" s="1"/>
      <c r="L46" s="1">
        <f t="shared" si="14"/>
        <v>229.01291715384696</v>
      </c>
      <c r="M46" s="1"/>
      <c r="N46" s="5">
        <f t="shared" si="15"/>
        <v>8.7605550090168988E-2</v>
      </c>
      <c r="O46" s="14"/>
      <c r="P46" s="1">
        <f>SUM(OSRRefP22_0x_0)</f>
        <v>5571.5200000000013</v>
      </c>
      <c r="Q46" s="1"/>
      <c r="R46" s="5">
        <f t="shared" si="16"/>
        <v>7.963430355338379E-3</v>
      </c>
      <c r="S46" s="1"/>
      <c r="T46" s="1">
        <f>SUM(OSRRefT22_0x_0)</f>
        <v>5460.8101014038439</v>
      </c>
      <c r="U46" s="1"/>
      <c r="V46" s="5">
        <f t="shared" si="17"/>
        <v>6.9593981923591073E-3</v>
      </c>
      <c r="W46" s="1"/>
      <c r="X46" s="1">
        <f t="shared" si="18"/>
        <v>110.70989859615747</v>
      </c>
      <c r="Y46" s="1"/>
      <c r="Z46" s="5">
        <f t="shared" si="19"/>
        <v>2.0273530216276262E-2</v>
      </c>
    </row>
    <row r="47" spans="1:26" s="24" customFormat="1" hidden="1" outlineLevel="2" x14ac:dyDescent="0.25">
      <c r="A47" s="27"/>
      <c r="B47" s="11" t="str">
        <f>CONCATENATE("          ", "6111", " - ", "F.I.C.A.")</f>
        <v xml:space="preserve">          6111 - F.I.C.A.</v>
      </c>
      <c r="C47" s="11"/>
      <c r="D47" s="6">
        <v>618.58000000000004</v>
      </c>
      <c r="E47" s="2"/>
      <c r="F47" s="7">
        <f t="shared" si="12"/>
        <v>1.2581174180008783E-3</v>
      </c>
      <c r="G47" s="2"/>
      <c r="H47" s="6">
        <v>693.99699899999996</v>
      </c>
      <c r="I47" s="2"/>
      <c r="J47" s="7">
        <f t="shared" si="13"/>
        <v>1.5375584595990366E-3</v>
      </c>
      <c r="K47" s="2"/>
      <c r="L47" s="6">
        <f t="shared" si="14"/>
        <v>-75.416998999999919</v>
      </c>
      <c r="M47" s="2"/>
      <c r="N47" s="7">
        <f t="shared" si="15"/>
        <v>-0.10867049729130014</v>
      </c>
      <c r="O47" s="11"/>
      <c r="P47" s="6">
        <v>1038.3800000000001</v>
      </c>
      <c r="Q47" s="2"/>
      <c r="R47" s="7">
        <f t="shared" si="16"/>
        <v>1.484167123581404E-3</v>
      </c>
      <c r="S47" s="2"/>
      <c r="T47" s="6">
        <v>1385.12986275</v>
      </c>
      <c r="U47" s="2"/>
      <c r="V47" s="7">
        <f t="shared" si="17"/>
        <v>1.7652454643179846E-3</v>
      </c>
      <c r="W47" s="2"/>
      <c r="X47" s="6">
        <f t="shared" si="18"/>
        <v>-346.74986274999992</v>
      </c>
      <c r="Y47" s="2"/>
      <c r="Z47" s="7">
        <f t="shared" si="19"/>
        <v>-0.25033743916369833</v>
      </c>
    </row>
    <row r="48" spans="1:26" s="24" customFormat="1" hidden="1" outlineLevel="2" x14ac:dyDescent="0.25">
      <c r="A48" s="27"/>
      <c r="B48" s="11" t="str">
        <f>CONCATENATE("          ", "6112", " - ", "COMPENSATION INSURANCE")</f>
        <v xml:space="preserve">          6112 - COMPENSATION INSURANCE</v>
      </c>
      <c r="C48" s="11"/>
      <c r="D48" s="6">
        <v>90.86</v>
      </c>
      <c r="E48" s="2"/>
      <c r="F48" s="7">
        <f t="shared" si="12"/>
        <v>1.8479832616566941E-4</v>
      </c>
      <c r="G48" s="2"/>
      <c r="H48" s="6">
        <v>167.76355000000001</v>
      </c>
      <c r="I48" s="2"/>
      <c r="J48" s="7">
        <f t="shared" si="13"/>
        <v>3.7168210509058123E-4</v>
      </c>
      <c r="K48" s="2"/>
      <c r="L48" s="6">
        <f t="shared" si="14"/>
        <v>-76.90355000000001</v>
      </c>
      <c r="M48" s="2"/>
      <c r="N48" s="7">
        <f t="shared" si="15"/>
        <v>-0.4584044031018657</v>
      </c>
      <c r="O48" s="11"/>
      <c r="P48" s="6">
        <v>143.91</v>
      </c>
      <c r="Q48" s="2"/>
      <c r="R48" s="7">
        <f t="shared" si="16"/>
        <v>2.0569203061942626E-4</v>
      </c>
      <c r="S48" s="2"/>
      <c r="T48" s="6">
        <v>334.83473750000002</v>
      </c>
      <c r="U48" s="2"/>
      <c r="V48" s="7">
        <f t="shared" si="17"/>
        <v>4.2672208401780631E-4</v>
      </c>
      <c r="W48" s="2"/>
      <c r="X48" s="6">
        <f t="shared" si="18"/>
        <v>-190.92473750000002</v>
      </c>
      <c r="Y48" s="2"/>
      <c r="Z48" s="7">
        <f t="shared" si="19"/>
        <v>-0.5702058840295805</v>
      </c>
    </row>
    <row r="49" spans="1:26" s="24" customFormat="1" hidden="1" outlineLevel="2" x14ac:dyDescent="0.25">
      <c r="A49" s="27"/>
      <c r="B49" s="11" t="str">
        <f>CONCATENATE("          ", "6113", " - ", "GROUP INSURANCE")</f>
        <v xml:space="preserve">          6113 - GROUP INSURANCE</v>
      </c>
      <c r="C49" s="11"/>
      <c r="D49" s="6">
        <v>1035.69</v>
      </c>
      <c r="E49" s="2"/>
      <c r="F49" s="7">
        <f t="shared" si="12"/>
        <v>2.106469055981974E-3</v>
      </c>
      <c r="G49" s="2"/>
      <c r="H49" s="6">
        <v>946.34615384615404</v>
      </c>
      <c r="I49" s="2"/>
      <c r="J49" s="7">
        <f t="shared" si="13"/>
        <v>2.0966409604822596E-3</v>
      </c>
      <c r="K49" s="2"/>
      <c r="L49" s="6">
        <f t="shared" si="14"/>
        <v>89.343846153846016</v>
      </c>
      <c r="M49" s="2"/>
      <c r="N49" s="7">
        <f t="shared" si="15"/>
        <v>9.4409266409266238E-2</v>
      </c>
      <c r="O49" s="11"/>
      <c r="P49" s="6">
        <v>2071.38</v>
      </c>
      <c r="Q49" s="2"/>
      <c r="R49" s="7">
        <f t="shared" si="16"/>
        <v>2.9606445582966243E-3</v>
      </c>
      <c r="S49" s="2"/>
      <c r="T49" s="6">
        <v>2046.1538461538439</v>
      </c>
      <c r="U49" s="2"/>
      <c r="V49" s="7">
        <f t="shared" si="17"/>
        <v>2.6076715933687077E-3</v>
      </c>
      <c r="W49" s="2"/>
      <c r="X49" s="6">
        <f t="shared" si="18"/>
        <v>25.226153846156194</v>
      </c>
      <c r="Y49" s="2"/>
      <c r="Z49" s="7">
        <f t="shared" si="19"/>
        <v>1.2328571428572589E-2</v>
      </c>
    </row>
    <row r="50" spans="1:26" s="24" customFormat="1" hidden="1" outlineLevel="2" x14ac:dyDescent="0.25">
      <c r="A50" s="27"/>
      <c r="B50" s="11" t="str">
        <f>CONCATENATE("          ", "6114", " - ", "STATE UNEMPLOYMENT INSURANCE")</f>
        <v xml:space="preserve">          6114 - STATE UNEMPLOYMENT INSURANCE</v>
      </c>
      <c r="C50" s="11"/>
      <c r="D50" s="6">
        <v>20.47</v>
      </c>
      <c r="E50" s="2"/>
      <c r="F50" s="7">
        <f t="shared" si="12"/>
        <v>4.1633521204174037E-5</v>
      </c>
      <c r="G50" s="2"/>
      <c r="H50" s="6">
        <v>23.577580000000001</v>
      </c>
      <c r="I50" s="2"/>
      <c r="J50" s="7">
        <f t="shared" si="13"/>
        <v>5.2236403958676276E-5</v>
      </c>
      <c r="K50" s="2"/>
      <c r="L50" s="6">
        <f t="shared" si="14"/>
        <v>-3.1075800000000022</v>
      </c>
      <c r="M50" s="2"/>
      <c r="N50" s="7">
        <f t="shared" si="15"/>
        <v>-0.13180233085838336</v>
      </c>
      <c r="O50" s="11"/>
      <c r="P50" s="6">
        <v>34.93</v>
      </c>
      <c r="Q50" s="2"/>
      <c r="R50" s="7">
        <f t="shared" si="16"/>
        <v>4.9925805222267797E-5</v>
      </c>
      <c r="S50" s="2"/>
      <c r="T50" s="6">
        <v>47.057855000000004</v>
      </c>
      <c r="U50" s="2"/>
      <c r="V50" s="7">
        <f t="shared" si="17"/>
        <v>5.9971752348448452E-5</v>
      </c>
      <c r="W50" s="2"/>
      <c r="X50" s="6">
        <f t="shared" si="18"/>
        <v>-12.127855000000004</v>
      </c>
      <c r="Y50" s="2"/>
      <c r="Z50" s="7">
        <f t="shared" si="19"/>
        <v>-0.25772222299550207</v>
      </c>
    </row>
    <row r="51" spans="1:26" s="24" customFormat="1" hidden="1" outlineLevel="2" x14ac:dyDescent="0.25">
      <c r="A51" s="27"/>
      <c r="B51" s="11" t="str">
        <f>CONCATENATE("          ", "6115", " - ", "P.E.R.S.")</f>
        <v xml:space="preserve">          6115 - P.E.R.S.</v>
      </c>
      <c r="C51" s="11"/>
      <c r="D51" s="6">
        <v>176.42</v>
      </c>
      <c r="E51" s="2"/>
      <c r="F51" s="7">
        <f t="shared" si="12"/>
        <v>3.5881708895165528E-4</v>
      </c>
      <c r="G51" s="2"/>
      <c r="H51" s="6">
        <v>196.27780000000001</v>
      </c>
      <c r="I51" s="2"/>
      <c r="J51" s="7">
        <f t="shared" si="13"/>
        <v>4.348557591118457E-4</v>
      </c>
      <c r="K51" s="2"/>
      <c r="L51" s="6">
        <f t="shared" si="14"/>
        <v>-19.857800000000026</v>
      </c>
      <c r="M51" s="2"/>
      <c r="N51" s="7">
        <f t="shared" si="15"/>
        <v>-0.10117191042491827</v>
      </c>
      <c r="O51" s="11"/>
      <c r="P51" s="6">
        <v>441.05</v>
      </c>
      <c r="Q51" s="2"/>
      <c r="R51" s="7">
        <f t="shared" si="16"/>
        <v>6.3039726290527382E-4</v>
      </c>
      <c r="S51" s="2"/>
      <c r="T51" s="6">
        <v>441.62504999999999</v>
      </c>
      <c r="U51" s="2"/>
      <c r="V51" s="7">
        <f t="shared" si="17"/>
        <v>5.6281843125810061E-4</v>
      </c>
      <c r="W51" s="2"/>
      <c r="X51" s="6">
        <f t="shared" si="18"/>
        <v>-0.57504999999997608</v>
      </c>
      <c r="Y51" s="2"/>
      <c r="Z51" s="7">
        <f t="shared" si="19"/>
        <v>-1.3021226943534477E-3</v>
      </c>
    </row>
    <row r="52" spans="1:26" s="24" customFormat="1" hidden="1" outlineLevel="2" x14ac:dyDescent="0.25">
      <c r="A52" s="27"/>
      <c r="B52" s="11" t="str">
        <f>CONCATENATE("          ", "6116", " - ", "EDUCATIONAL BENEFITS")</f>
        <v xml:space="preserve">          6116 - EDUCATIONAL BENEFITS</v>
      </c>
      <c r="C52" s="11"/>
      <c r="D52" s="6"/>
      <c r="E52" s="2"/>
      <c r="F52" s="7">
        <f t="shared" si="12"/>
        <v>0</v>
      </c>
      <c r="G52" s="2"/>
      <c r="H52" s="6">
        <v>0</v>
      </c>
      <c r="I52" s="2"/>
      <c r="J52" s="7">
        <f t="shared" si="13"/>
        <v>0</v>
      </c>
      <c r="K52" s="2"/>
      <c r="L52" s="6">
        <f t="shared" si="14"/>
        <v>0</v>
      </c>
      <c r="M52" s="2"/>
      <c r="N52" s="7">
        <f t="shared" si="15"/>
        <v>0</v>
      </c>
      <c r="O52" s="11"/>
      <c r="P52" s="6"/>
      <c r="Q52" s="2"/>
      <c r="R52" s="7">
        <f t="shared" si="16"/>
        <v>0</v>
      </c>
      <c r="S52" s="2"/>
      <c r="T52" s="6">
        <v>0</v>
      </c>
      <c r="U52" s="2"/>
      <c r="V52" s="7">
        <f t="shared" si="17"/>
        <v>0</v>
      </c>
      <c r="W52" s="2"/>
      <c r="X52" s="6">
        <f t="shared" si="18"/>
        <v>0</v>
      </c>
      <c r="Y52" s="2"/>
      <c r="Z52" s="7">
        <f t="shared" si="19"/>
        <v>0</v>
      </c>
    </row>
    <row r="53" spans="1:26" s="24" customFormat="1" hidden="1" outlineLevel="2" x14ac:dyDescent="0.25">
      <c r="A53" s="27"/>
      <c r="B53" s="11" t="str">
        <f>CONCATENATE("          ", "6117", " - ", "RETIREMENT STAFF HOURLY")</f>
        <v xml:space="preserve">          6117 - RETIREMENT STAFF HOURLY</v>
      </c>
      <c r="C53" s="11"/>
      <c r="D53" s="6">
        <v>190.54</v>
      </c>
      <c r="E53" s="2"/>
      <c r="F53" s="7">
        <f t="shared" si="12"/>
        <v>3.8753547289903861E-4</v>
      </c>
      <c r="G53" s="2"/>
      <c r="H53" s="6"/>
      <c r="I53" s="2"/>
      <c r="J53" s="7">
        <f t="shared" si="13"/>
        <v>0</v>
      </c>
      <c r="K53" s="2"/>
      <c r="L53" s="6">
        <f t="shared" si="14"/>
        <v>190.54</v>
      </c>
      <c r="M53" s="2"/>
      <c r="N53" s="7">
        <f t="shared" si="15"/>
        <v>0</v>
      </c>
      <c r="O53" s="11"/>
      <c r="P53" s="6">
        <v>438.08</v>
      </c>
      <c r="Q53" s="2"/>
      <c r="R53" s="7">
        <f t="shared" si="16"/>
        <v>6.2615221161669275E-4</v>
      </c>
      <c r="S53" s="2"/>
      <c r="T53" s="6"/>
      <c r="U53" s="2"/>
      <c r="V53" s="7">
        <f t="shared" si="17"/>
        <v>0</v>
      </c>
      <c r="W53" s="2"/>
      <c r="X53" s="6">
        <f t="shared" si="18"/>
        <v>438.08</v>
      </c>
      <c r="Y53" s="2"/>
      <c r="Z53" s="7">
        <f t="shared" si="19"/>
        <v>0</v>
      </c>
    </row>
    <row r="54" spans="1:26" s="24" customFormat="1" hidden="1" outlineLevel="2" x14ac:dyDescent="0.25">
      <c r="A54" s="27"/>
      <c r="B54" s="11" t="str">
        <f>CONCATENATE("          ", "6118", " - ", "VACATION")</f>
        <v xml:space="preserve">          6118 - VACATION</v>
      </c>
      <c r="C54" s="11"/>
      <c r="D54" s="6">
        <v>257.8</v>
      </c>
      <c r="E54" s="2"/>
      <c r="F54" s="7">
        <f t="shared" si="12"/>
        <v>5.2433423382687193E-4</v>
      </c>
      <c r="G54" s="2"/>
      <c r="H54" s="6">
        <v>194.749</v>
      </c>
      <c r="I54" s="2"/>
      <c r="J54" s="7">
        <f t="shared" si="13"/>
        <v>4.3146868485010952E-4</v>
      </c>
      <c r="K54" s="2"/>
      <c r="L54" s="6">
        <f t="shared" si="14"/>
        <v>63.051000000000016</v>
      </c>
      <c r="M54" s="2"/>
      <c r="N54" s="7">
        <f t="shared" si="15"/>
        <v>0.32375519258122004</v>
      </c>
      <c r="O54" s="11"/>
      <c r="P54" s="6">
        <v>515.6</v>
      </c>
      <c r="Q54" s="2"/>
      <c r="R54" s="7">
        <f t="shared" si="16"/>
        <v>7.3695233817925221E-4</v>
      </c>
      <c r="S54" s="2"/>
      <c r="T54" s="6">
        <v>438.18525</v>
      </c>
      <c r="U54" s="2"/>
      <c r="V54" s="7">
        <f t="shared" si="17"/>
        <v>5.5843466081790106E-4</v>
      </c>
      <c r="W54" s="2"/>
      <c r="X54" s="6">
        <f t="shared" si="18"/>
        <v>77.414750000000026</v>
      </c>
      <c r="Y54" s="2"/>
      <c r="Z54" s="7">
        <f t="shared" si="19"/>
        <v>0.17667128229441778</v>
      </c>
    </row>
    <row r="55" spans="1:26" s="24" customFormat="1" hidden="1" outlineLevel="2" x14ac:dyDescent="0.25">
      <c r="A55" s="27"/>
      <c r="B55" s="11" t="str">
        <f>CONCATENATE("          ", "6119", " - ", "SICK LEAVE")</f>
        <v xml:space="preserve">          6119 - SICK LEAVE</v>
      </c>
      <c r="C55" s="11"/>
      <c r="D55" s="6">
        <v>256.57</v>
      </c>
      <c r="E55" s="2"/>
      <c r="F55" s="7">
        <f t="shared" si="12"/>
        <v>5.2183256157083211E-4</v>
      </c>
      <c r="G55" s="2"/>
      <c r="H55" s="6">
        <v>216.42599999999999</v>
      </c>
      <c r="I55" s="2"/>
      <c r="J55" s="7">
        <f t="shared" si="13"/>
        <v>4.7949433161335772E-4</v>
      </c>
      <c r="K55" s="2"/>
      <c r="L55" s="6">
        <f t="shared" si="14"/>
        <v>40.144000000000005</v>
      </c>
      <c r="M55" s="2"/>
      <c r="N55" s="7">
        <f t="shared" si="15"/>
        <v>0.18548603217728002</v>
      </c>
      <c r="O55" s="11"/>
      <c r="P55" s="6">
        <v>513.14</v>
      </c>
      <c r="Q55" s="2"/>
      <c r="R55" s="7">
        <f t="shared" si="16"/>
        <v>7.3343623509174052E-4</v>
      </c>
      <c r="S55" s="2"/>
      <c r="T55" s="6">
        <v>417.82350000000002</v>
      </c>
      <c r="U55" s="2"/>
      <c r="V55" s="7">
        <f t="shared" si="17"/>
        <v>5.3248511789077404E-4</v>
      </c>
      <c r="W55" s="2"/>
      <c r="X55" s="6">
        <f t="shared" si="18"/>
        <v>95.316499999999962</v>
      </c>
      <c r="Y55" s="2"/>
      <c r="Z55" s="7">
        <f t="shared" si="19"/>
        <v>0.22812623033410029</v>
      </c>
    </row>
    <row r="56" spans="1:26" s="24" customFormat="1" hidden="1" outlineLevel="2" x14ac:dyDescent="0.25">
      <c r="A56" s="27"/>
      <c r="B56" s="11" t="str">
        <f>CONCATENATE("          ", "6156", " - ", "EMPLOYEE MEALS")</f>
        <v xml:space="preserve">          6156 - EMPLOYEE MEALS</v>
      </c>
      <c r="C56" s="11"/>
      <c r="D56" s="6">
        <v>196.22</v>
      </c>
      <c r="E56" s="2"/>
      <c r="F56" s="7">
        <f t="shared" si="12"/>
        <v>3.9908791063424668E-4</v>
      </c>
      <c r="G56" s="2"/>
      <c r="H56" s="6">
        <v>175</v>
      </c>
      <c r="I56" s="2"/>
      <c r="J56" s="7">
        <f t="shared" si="13"/>
        <v>3.8771454461265103E-4</v>
      </c>
      <c r="K56" s="2"/>
      <c r="L56" s="6">
        <f t="shared" si="14"/>
        <v>21.22</v>
      </c>
      <c r="M56" s="2"/>
      <c r="N56" s="7">
        <f t="shared" si="15"/>
        <v>0.12125714285714286</v>
      </c>
      <c r="O56" s="11"/>
      <c r="P56" s="6">
        <v>375.05</v>
      </c>
      <c r="Q56" s="2"/>
      <c r="R56" s="7">
        <f t="shared" si="16"/>
        <v>5.3606278982569532E-4</v>
      </c>
      <c r="S56" s="2"/>
      <c r="T56" s="6">
        <v>350</v>
      </c>
      <c r="U56" s="2"/>
      <c r="V56" s="7">
        <f t="shared" si="17"/>
        <v>4.4604908833938476E-4</v>
      </c>
      <c r="W56" s="2"/>
      <c r="X56" s="6">
        <f t="shared" si="18"/>
        <v>25.050000000000011</v>
      </c>
      <c r="Y56" s="2"/>
      <c r="Z56" s="7">
        <f t="shared" si="19"/>
        <v>7.1571428571428605E-2</v>
      </c>
    </row>
    <row r="57" spans="1:26" s="29" customFormat="1" outlineLevel="1" collapsed="1" x14ac:dyDescent="0.25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9389.67</v>
      </c>
      <c r="E57" s="1"/>
      <c r="F57" s="5">
        <f t="shared" ref="F57:F67" si="20">IF(D$12=0,0,D57/D$12)</f>
        <v>1.9097460920625153E-2</v>
      </c>
      <c r="G57" s="1"/>
      <c r="H57" s="1">
        <f>SUM(OSRRefH22_1x_0)</f>
        <v>8657.125</v>
      </c>
      <c r="I57" s="1"/>
      <c r="J57" s="5">
        <f t="shared" ref="J57:J67" si="21">IF(H$12=0,0,H57/H$12)</f>
        <v>1.9179961583027406E-2</v>
      </c>
      <c r="K57" s="1"/>
      <c r="L57" s="1">
        <f t="shared" ref="L57:L67" si="22">+D57-H57</f>
        <v>732.54500000000007</v>
      </c>
      <c r="M57" s="1"/>
      <c r="N57" s="5">
        <f t="shared" ref="N57:N67" si="23">IF(H57=0,0,L57/H57)</f>
        <v>8.4617583782144776E-2</v>
      </c>
      <c r="O57" s="14"/>
      <c r="P57" s="1">
        <f>SUM(OSRRefP22_1x_0)</f>
        <v>15807.490000000002</v>
      </c>
      <c r="Q57" s="1"/>
      <c r="R57" s="5">
        <f t="shared" ref="R57:R67" si="24">IF(P$12=0,0,P57/P$12)</f>
        <v>2.2593806664556144E-2</v>
      </c>
      <c r="S57" s="1"/>
      <c r="T57" s="1">
        <f>SUM(OSRRefT22_1x_0)</f>
        <v>17243.166250000002</v>
      </c>
      <c r="U57" s="1"/>
      <c r="V57" s="5">
        <f t="shared" ref="V57:V67" si="25">IF(T$12=0,0,T57/T$12)</f>
        <v>2.1975138816848424E-2</v>
      </c>
      <c r="W57" s="1"/>
      <c r="X57" s="1">
        <f t="shared" ref="X57:X67" si="26">+P57-T57</f>
        <v>-1435.6762500000004</v>
      </c>
      <c r="Y57" s="1"/>
      <c r="Z57" s="5">
        <f t="shared" ref="Z57:Z67" si="27">IF(T57=0,0,X57/T57)</f>
        <v>-8.3260593163973023E-2</v>
      </c>
    </row>
    <row r="58" spans="1:26" s="24" customFormat="1" hidden="1" outlineLevel="2" x14ac:dyDescent="0.25">
      <c r="A58" s="27"/>
      <c r="B58" s="11" t="str">
        <f>CONCATENATE("          ", "6001", " - ", "ADMINISTRATIVE SALARIES")</f>
        <v xml:space="preserve">          6001 - ADMINISTRATIVE SALARIES</v>
      </c>
      <c r="C58" s="11"/>
      <c r="D58" s="6"/>
      <c r="E58" s="2"/>
      <c r="F58" s="7">
        <f t="shared" si="20"/>
        <v>0</v>
      </c>
      <c r="G58" s="2"/>
      <c r="H58" s="6">
        <v>0</v>
      </c>
      <c r="I58" s="2"/>
      <c r="J58" s="7">
        <f t="shared" si="21"/>
        <v>0</v>
      </c>
      <c r="K58" s="2"/>
      <c r="L58" s="6">
        <f t="shared" si="22"/>
        <v>0</v>
      </c>
      <c r="M58" s="2"/>
      <c r="N58" s="7">
        <f t="shared" si="23"/>
        <v>0</v>
      </c>
      <c r="O58" s="11"/>
      <c r="P58" s="6"/>
      <c r="Q58" s="2"/>
      <c r="R58" s="7">
        <f t="shared" si="24"/>
        <v>0</v>
      </c>
      <c r="S58" s="2"/>
      <c r="T58" s="6">
        <v>0</v>
      </c>
      <c r="U58" s="2"/>
      <c r="V58" s="7">
        <f t="shared" si="25"/>
        <v>0</v>
      </c>
      <c r="W58" s="2"/>
      <c r="X58" s="6">
        <f t="shared" si="26"/>
        <v>0</v>
      </c>
      <c r="Y58" s="2"/>
      <c r="Z58" s="7">
        <f t="shared" si="27"/>
        <v>0</v>
      </c>
    </row>
    <row r="59" spans="1:26" s="24" customFormat="1" hidden="1" outlineLevel="2" x14ac:dyDescent="0.25">
      <c r="A59" s="27"/>
      <c r="B59" s="11" t="str">
        <f>CONCATENATE("          ", "6002", " - ", "STAFF SALARIES")</f>
        <v xml:space="preserve">          6002 - STAFF SALARIES</v>
      </c>
      <c r="C59" s="11"/>
      <c r="D59" s="6">
        <v>2054.0700000000002</v>
      </c>
      <c r="E59" s="2"/>
      <c r="F59" s="7">
        <f t="shared" si="20"/>
        <v>4.1777316511899254E-3</v>
      </c>
      <c r="G59" s="2"/>
      <c r="H59" s="6">
        <v>2168.1849999999999</v>
      </c>
      <c r="I59" s="2"/>
      <c r="J59" s="7">
        <f t="shared" si="21"/>
        <v>4.8036391994913186E-3</v>
      </c>
      <c r="K59" s="2"/>
      <c r="L59" s="6">
        <f t="shared" si="22"/>
        <v>-114.11499999999978</v>
      </c>
      <c r="M59" s="2"/>
      <c r="N59" s="7">
        <f t="shared" si="23"/>
        <v>-5.2631578947368321E-2</v>
      </c>
      <c r="O59" s="11"/>
      <c r="P59" s="6">
        <v>4679.1400000000003</v>
      </c>
      <c r="Q59" s="2"/>
      <c r="R59" s="7">
        <f t="shared" si="24"/>
        <v>6.6879425206905858E-3</v>
      </c>
      <c r="S59" s="2"/>
      <c r="T59" s="6">
        <v>4878.4162500000002</v>
      </c>
      <c r="U59" s="2"/>
      <c r="V59" s="7">
        <f t="shared" si="25"/>
        <v>6.2171803452929714E-3</v>
      </c>
      <c r="W59" s="2"/>
      <c r="X59" s="6">
        <f t="shared" si="26"/>
        <v>-199.27624999999989</v>
      </c>
      <c r="Y59" s="2"/>
      <c r="Z59" s="7">
        <f t="shared" si="27"/>
        <v>-4.0848554077360634E-2</v>
      </c>
    </row>
    <row r="60" spans="1:26" s="24" customFormat="1" hidden="1" outlineLevel="2" x14ac:dyDescent="0.25">
      <c r="A60" s="27"/>
      <c r="B60" s="11" t="str">
        <f>CONCATENATE("          ", "6003", " - ", "STAFF HOURLY-9 MONTH")</f>
        <v xml:space="preserve">          6003 - STAFF HOURLY-9 MONTH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7"/>
      <c r="B61" s="11" t="str">
        <f>CONCATENATE("          ", "6004", " - ", "STAFF HOURLY")</f>
        <v xml:space="preserve">          6004 - STAFF HOURLY</v>
      </c>
      <c r="C61" s="11"/>
      <c r="D61" s="6">
        <v>3810.96</v>
      </c>
      <c r="E61" s="2"/>
      <c r="F61" s="7">
        <f t="shared" si="20"/>
        <v>7.7510348787620462E-3</v>
      </c>
      <c r="G61" s="2"/>
      <c r="H61" s="6">
        <v>3088.12</v>
      </c>
      <c r="I61" s="2"/>
      <c r="J61" s="7">
        <f t="shared" si="21"/>
        <v>6.8417659400526847E-3</v>
      </c>
      <c r="K61" s="2"/>
      <c r="L61" s="6">
        <f t="shared" si="22"/>
        <v>722.84000000000015</v>
      </c>
      <c r="M61" s="2"/>
      <c r="N61" s="7">
        <f t="shared" si="23"/>
        <v>0.23407121484916396</v>
      </c>
      <c r="O61" s="11"/>
      <c r="P61" s="6">
        <v>6834.71</v>
      </c>
      <c r="Q61" s="2"/>
      <c r="R61" s="7">
        <f t="shared" si="24"/>
        <v>9.7689207045715994E-3</v>
      </c>
      <c r="S61" s="2"/>
      <c r="T61" s="6">
        <v>6948.27</v>
      </c>
      <c r="U61" s="2"/>
      <c r="V61" s="7">
        <f t="shared" si="25"/>
        <v>8.8550557115311349E-3</v>
      </c>
      <c r="W61" s="2"/>
      <c r="X61" s="6">
        <f t="shared" si="26"/>
        <v>-113.5600000000004</v>
      </c>
      <c r="Y61" s="2"/>
      <c r="Z61" s="7">
        <f t="shared" si="27"/>
        <v>-1.634363661746023E-2</v>
      </c>
    </row>
    <row r="62" spans="1:26" s="24" customFormat="1" hidden="1" outlineLevel="2" x14ac:dyDescent="0.25">
      <c r="A62" s="27"/>
      <c r="B62" s="11" t="str">
        <f>CONCATENATE("          ", "6005", " - ", "TEMPORARY WAGES-HOURLY")</f>
        <v xml:space="preserve">          6005 - TEMPORARY WAGES-HOURLY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7"/>
      <c r="B63" s="11" t="str">
        <f>CONCATENATE("          ", "6006", " - ", "TEMPORARY PART TIME")</f>
        <v xml:space="preserve">          6006 - TEMPORARY PART TIME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4" customFormat="1" hidden="1" outlineLevel="2" x14ac:dyDescent="0.25">
      <c r="A64" s="27"/>
      <c r="B64" s="11" t="str">
        <f>CONCATENATE("          ", "6007", " - ", "STUDENT HOURLY")</f>
        <v xml:space="preserve">          6007 - STUDENT HOURLY</v>
      </c>
      <c r="C64" s="11"/>
      <c r="D64" s="6">
        <v>3524.64</v>
      </c>
      <c r="E64" s="2"/>
      <c r="F64" s="7">
        <f t="shared" si="20"/>
        <v>7.1686943906731793E-3</v>
      </c>
      <c r="G64" s="2"/>
      <c r="H64" s="6">
        <v>3400.82</v>
      </c>
      <c r="I64" s="2"/>
      <c r="J64" s="7">
        <f t="shared" si="21"/>
        <v>7.5345564434834049E-3</v>
      </c>
      <c r="K64" s="2"/>
      <c r="L64" s="6">
        <f t="shared" si="22"/>
        <v>123.81999999999971</v>
      </c>
      <c r="M64" s="2"/>
      <c r="N64" s="7">
        <f t="shared" si="23"/>
        <v>3.6408866097000045E-2</v>
      </c>
      <c r="O64" s="11"/>
      <c r="P64" s="6">
        <v>4293.6400000000003</v>
      </c>
      <c r="Q64" s="2"/>
      <c r="R64" s="7">
        <f t="shared" si="24"/>
        <v>6.1369434392939577E-3</v>
      </c>
      <c r="S64" s="2"/>
      <c r="T64" s="6">
        <v>5416.48</v>
      </c>
      <c r="U64" s="2"/>
      <c r="V64" s="7">
        <f t="shared" si="25"/>
        <v>6.9029027600243159E-3</v>
      </c>
      <c r="W64" s="2"/>
      <c r="X64" s="6">
        <f t="shared" si="26"/>
        <v>-1122.8399999999992</v>
      </c>
      <c r="Y64" s="2"/>
      <c r="Z64" s="7">
        <f t="shared" si="27"/>
        <v>-0.20730068236197666</v>
      </c>
    </row>
    <row r="65" spans="1:26" s="24" customFormat="1" hidden="1" outlineLevel="2" x14ac:dyDescent="0.25">
      <c r="A65" s="27"/>
      <c r="B65" s="11" t="str">
        <f>CONCATENATE("          ", "6008", " - ", "STUDENT HOURLY-FICA EXEMPT")</f>
        <v xml:space="preserve">          6008 - STUDENT HOURLY-FICA EXEMPT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7"/>
      <c r="B66" s="11" t="str">
        <f>CONCATENATE("          ", "6009", " - ", "TEMPORARY-SEASONAL")</f>
        <v xml:space="preserve">          6009 - TEMPORARY-SEASONAL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/>
      <c r="Q66" s="2"/>
      <c r="R66" s="7">
        <f t="shared" si="24"/>
        <v>0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0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"6010", " - ", "GRATUITY")</f>
        <v xml:space="preserve">          6010 - GRATUITY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9" customFormat="1" outlineLevel="1" collapsed="1" x14ac:dyDescent="0.25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99.23</v>
      </c>
      <c r="E68" s="1"/>
      <c r="F68" s="5">
        <f t="shared" ref="F68:F78" si="28">IF(D$12=0,0,D68/D$12)</f>
        <v>2.0182190078603762E-4</v>
      </c>
      <c r="G68" s="1"/>
      <c r="H68" s="1">
        <f>SUM(OSRRefH22_2x_0)</f>
        <v>200</v>
      </c>
      <c r="I68" s="1"/>
      <c r="J68" s="5">
        <f t="shared" ref="J68:J78" si="29">IF(H$12=0,0,H68/H$12)</f>
        <v>4.4310233670017259E-4</v>
      </c>
      <c r="K68" s="1"/>
      <c r="L68" s="1">
        <f t="shared" ref="L68:L78" si="30">+D68-H68</f>
        <v>-100.77</v>
      </c>
      <c r="M68" s="1"/>
      <c r="N68" s="5">
        <f t="shared" ref="N68:N78" si="31">IF(H68=0,0,L68/H68)</f>
        <v>-0.50385000000000002</v>
      </c>
      <c r="O68" s="14"/>
      <c r="P68" s="1">
        <f>SUM(OSRRefP22_2x_0)</f>
        <v>248.88</v>
      </c>
      <c r="Q68" s="1"/>
      <c r="R68" s="5">
        <f t="shared" ref="R68:R78" si="32">IF(P$12=0,0,P68/P$12)</f>
        <v>3.5572672212190123E-4</v>
      </c>
      <c r="S68" s="1"/>
      <c r="T68" s="1">
        <f>SUM(OSRRefT22_2x_0)</f>
        <v>400</v>
      </c>
      <c r="U68" s="1"/>
      <c r="V68" s="5">
        <f t="shared" ref="V68:V78" si="33">IF(T$12=0,0,T68/T$12)</f>
        <v>5.0977038667358258E-4</v>
      </c>
      <c r="W68" s="1"/>
      <c r="X68" s="1">
        <f t="shared" ref="X68:X78" si="34">+P68-T68</f>
        <v>-151.12</v>
      </c>
      <c r="Y68" s="1"/>
      <c r="Z68" s="5">
        <f t="shared" ref="Z68:Z78" si="35">IF(T68=0,0,X68/T68)</f>
        <v>-0.37780000000000002</v>
      </c>
    </row>
    <row r="69" spans="1:26" s="24" customFormat="1" hidden="1" outlineLevel="2" x14ac:dyDescent="0.25">
      <c r="A69" s="27"/>
      <c r="B69" s="11" t="str">
        <f>CONCATENATE("          ", "6362", " - ", "ADVERTISING EXPENSE")</f>
        <v xml:space="preserve">          6362 - ADVERTISING EXPENSE</v>
      </c>
      <c r="C69" s="11"/>
      <c r="D69" s="6">
        <v>99.23</v>
      </c>
      <c r="E69" s="2"/>
      <c r="F69" s="7">
        <f t="shared" si="28"/>
        <v>2.0182190078603762E-4</v>
      </c>
      <c r="G69" s="2"/>
      <c r="H69" s="6">
        <v>200</v>
      </c>
      <c r="I69" s="2"/>
      <c r="J69" s="7">
        <f t="shared" si="29"/>
        <v>4.4310233670017259E-4</v>
      </c>
      <c r="K69" s="2"/>
      <c r="L69" s="6">
        <f t="shared" si="30"/>
        <v>-100.77</v>
      </c>
      <c r="M69" s="2"/>
      <c r="N69" s="7">
        <f t="shared" si="31"/>
        <v>-0.50385000000000002</v>
      </c>
      <c r="O69" s="11"/>
      <c r="P69" s="6">
        <v>248.88</v>
      </c>
      <c r="Q69" s="2"/>
      <c r="R69" s="7">
        <f t="shared" si="32"/>
        <v>3.5572672212190123E-4</v>
      </c>
      <c r="S69" s="2"/>
      <c r="T69" s="6">
        <v>400</v>
      </c>
      <c r="U69" s="2"/>
      <c r="V69" s="7">
        <f t="shared" si="33"/>
        <v>5.0977038667358258E-4</v>
      </c>
      <c r="W69" s="2"/>
      <c r="X69" s="6">
        <f t="shared" si="34"/>
        <v>-151.12</v>
      </c>
      <c r="Y69" s="2"/>
      <c r="Z69" s="7">
        <f t="shared" si="35"/>
        <v>-0.37780000000000002</v>
      </c>
    </row>
    <row r="70" spans="1:26" s="29" customFormat="1" outlineLevel="1" collapsed="1" x14ac:dyDescent="0.25">
      <c r="A70" s="28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28"/>
        <v>5.703812743770673E-4</v>
      </c>
      <c r="G70" s="1"/>
      <c r="H70" s="1">
        <f>SUM(OSRRefH22_3x_0)</f>
        <v>300</v>
      </c>
      <c r="I70" s="1"/>
      <c r="J70" s="5">
        <f t="shared" si="29"/>
        <v>6.6465350505025885E-4</v>
      </c>
      <c r="K70" s="1"/>
      <c r="L70" s="1">
        <f t="shared" si="30"/>
        <v>-19.560000000000002</v>
      </c>
      <c r="M70" s="1"/>
      <c r="N70" s="5">
        <f t="shared" si="31"/>
        <v>-6.5200000000000008E-2</v>
      </c>
      <c r="O70" s="14"/>
      <c r="P70" s="1">
        <f>SUM(OSRRefP22_3x_0)</f>
        <v>560.88</v>
      </c>
      <c r="Q70" s="1"/>
      <c r="R70" s="5">
        <f t="shared" si="32"/>
        <v>8.016715039526357E-4</v>
      </c>
      <c r="S70" s="1"/>
      <c r="T70" s="1">
        <f>SUM(OSRRefT22_3x_0)</f>
        <v>600</v>
      </c>
      <c r="U70" s="1"/>
      <c r="V70" s="5">
        <f t="shared" si="33"/>
        <v>7.6465558001037387E-4</v>
      </c>
      <c r="W70" s="1"/>
      <c r="X70" s="1">
        <f t="shared" si="34"/>
        <v>-39.120000000000005</v>
      </c>
      <c r="Y70" s="1"/>
      <c r="Z70" s="5">
        <f t="shared" si="35"/>
        <v>-6.5200000000000008E-2</v>
      </c>
    </row>
    <row r="71" spans="1:26" s="24" customFormat="1" hidden="1" outlineLevel="2" x14ac:dyDescent="0.25">
      <c r="A71" s="27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28"/>
        <v>5.703812743770673E-4</v>
      </c>
      <c r="G71" s="2"/>
      <c r="H71" s="6">
        <v>300</v>
      </c>
      <c r="I71" s="2"/>
      <c r="J71" s="7">
        <f t="shared" si="29"/>
        <v>6.6465350505025885E-4</v>
      </c>
      <c r="K71" s="2"/>
      <c r="L71" s="6">
        <f t="shared" si="30"/>
        <v>-19.560000000000002</v>
      </c>
      <c r="M71" s="2"/>
      <c r="N71" s="7">
        <f t="shared" si="31"/>
        <v>-6.5200000000000008E-2</v>
      </c>
      <c r="O71" s="11"/>
      <c r="P71" s="6">
        <v>560.88</v>
      </c>
      <c r="Q71" s="2"/>
      <c r="R71" s="7">
        <f t="shared" si="32"/>
        <v>8.016715039526357E-4</v>
      </c>
      <c r="S71" s="2"/>
      <c r="T71" s="6">
        <v>600</v>
      </c>
      <c r="U71" s="2"/>
      <c r="V71" s="7">
        <f t="shared" si="33"/>
        <v>7.6465558001037387E-4</v>
      </c>
      <c r="W71" s="2"/>
      <c r="X71" s="6">
        <f t="shared" si="34"/>
        <v>-39.120000000000005</v>
      </c>
      <c r="Y71" s="2"/>
      <c r="Z71" s="7">
        <f t="shared" si="35"/>
        <v>-6.5200000000000008E-2</v>
      </c>
    </row>
    <row r="72" spans="1:26" s="29" customFormat="1" outlineLevel="1" collapsed="1" x14ac:dyDescent="0.25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28"/>
        <v>0</v>
      </c>
      <c r="G72" s="1"/>
      <c r="H72" s="1">
        <f>SUM(OSRRefH22_4x_0)</f>
        <v>7180</v>
      </c>
      <c r="I72" s="1"/>
      <c r="J72" s="5">
        <f t="shared" si="29"/>
        <v>1.5907373887536196E-2</v>
      </c>
      <c r="K72" s="1"/>
      <c r="L72" s="1">
        <f t="shared" si="30"/>
        <v>-7180</v>
      </c>
      <c r="M72" s="1"/>
      <c r="N72" s="5">
        <f t="shared" si="31"/>
        <v>-1</v>
      </c>
      <c r="O72" s="14"/>
      <c r="P72" s="1">
        <f>SUM(OSRRefP22_4x_0)</f>
        <v>0</v>
      </c>
      <c r="Q72" s="1"/>
      <c r="R72" s="5">
        <f t="shared" si="32"/>
        <v>0</v>
      </c>
      <c r="S72" s="1"/>
      <c r="T72" s="1">
        <f>SUM(OSRRefT22_4x_0)</f>
        <v>12481</v>
      </c>
      <c r="U72" s="1"/>
      <c r="V72" s="5">
        <f t="shared" si="33"/>
        <v>1.5906110490182458E-2</v>
      </c>
      <c r="W72" s="1"/>
      <c r="X72" s="1">
        <f t="shared" si="34"/>
        <v>-12481</v>
      </c>
      <c r="Y72" s="1"/>
      <c r="Z72" s="5">
        <f t="shared" si="35"/>
        <v>-1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28"/>
        <v>0</v>
      </c>
      <c r="G73" s="2"/>
      <c r="H73" s="6">
        <v>7180</v>
      </c>
      <c r="I73" s="2"/>
      <c r="J73" s="7">
        <f t="shared" si="29"/>
        <v>1.5907373887536196E-2</v>
      </c>
      <c r="K73" s="2"/>
      <c r="L73" s="6">
        <f t="shared" si="30"/>
        <v>-7180</v>
      </c>
      <c r="M73" s="2"/>
      <c r="N73" s="7">
        <f t="shared" si="31"/>
        <v>-1</v>
      </c>
      <c r="O73" s="11"/>
      <c r="P73" s="6"/>
      <c r="Q73" s="2"/>
      <c r="R73" s="7">
        <f t="shared" si="32"/>
        <v>0</v>
      </c>
      <c r="S73" s="2"/>
      <c r="T73" s="6">
        <v>12481</v>
      </c>
      <c r="U73" s="2"/>
      <c r="V73" s="7">
        <f t="shared" si="33"/>
        <v>1.5906110490182458E-2</v>
      </c>
      <c r="W73" s="2"/>
      <c r="X73" s="6">
        <f t="shared" si="34"/>
        <v>-12481</v>
      </c>
      <c r="Y73" s="2"/>
      <c r="Z73" s="7">
        <f t="shared" si="35"/>
        <v>-1</v>
      </c>
    </row>
    <row r="74" spans="1:26" s="29" customFormat="1" outlineLevel="1" collapsed="1" x14ac:dyDescent="0.25">
      <c r="A74" s="28"/>
      <c r="B74" s="14" t="str">
        <f>CONCATENATE("     ","Employees' Appreciation                           ")</f>
        <v xml:space="preserve">     Employees' Appreciation                           </v>
      </c>
      <c r="C74" s="14"/>
      <c r="D74" s="1">
        <f>SUM(OSRRefD22_5x_0)</f>
        <v>0</v>
      </c>
      <c r="E74" s="1"/>
      <c r="F74" s="5">
        <f t="shared" si="28"/>
        <v>0</v>
      </c>
      <c r="G74" s="1"/>
      <c r="H74" s="1">
        <f>SUM(OSRRefH22_5x_0)</f>
        <v>20</v>
      </c>
      <c r="I74" s="1"/>
      <c r="J74" s="5">
        <f t="shared" si="29"/>
        <v>4.4310233670017256E-5</v>
      </c>
      <c r="K74" s="1"/>
      <c r="L74" s="1">
        <f t="shared" si="30"/>
        <v>-20</v>
      </c>
      <c r="M74" s="1"/>
      <c r="N74" s="5">
        <f t="shared" si="31"/>
        <v>-1</v>
      </c>
      <c r="O74" s="14"/>
      <c r="P74" s="1">
        <f>SUM(OSRRefP22_5x_0)</f>
        <v>0</v>
      </c>
      <c r="Q74" s="1"/>
      <c r="R74" s="5">
        <f t="shared" si="32"/>
        <v>0</v>
      </c>
      <c r="S74" s="1"/>
      <c r="T74" s="1">
        <f>SUM(OSRRefT22_5x_0)</f>
        <v>40</v>
      </c>
      <c r="U74" s="1"/>
      <c r="V74" s="5">
        <f t="shared" si="33"/>
        <v>5.0977038667358252E-5</v>
      </c>
      <c r="W74" s="1"/>
      <c r="X74" s="1">
        <f t="shared" si="34"/>
        <v>-40</v>
      </c>
      <c r="Y74" s="1"/>
      <c r="Z74" s="5">
        <f t="shared" si="35"/>
        <v>-1</v>
      </c>
    </row>
    <row r="75" spans="1:26" s="24" customFormat="1" hidden="1" outlineLevel="2" x14ac:dyDescent="0.25">
      <c r="A75" s="27"/>
      <c r="B75" s="11" t="str">
        <f>CONCATENATE("          ", "6277", " - ", "EMPLOYEE APPRECIATION")</f>
        <v xml:space="preserve">          6277 - EMPLOYEE APPRECIATION</v>
      </c>
      <c r="C75" s="11"/>
      <c r="D75" s="6"/>
      <c r="E75" s="2"/>
      <c r="F75" s="7">
        <f t="shared" si="28"/>
        <v>0</v>
      </c>
      <c r="G75" s="2"/>
      <c r="H75" s="6">
        <v>20</v>
      </c>
      <c r="I75" s="2"/>
      <c r="J75" s="7">
        <f t="shared" si="29"/>
        <v>4.4310233670017256E-5</v>
      </c>
      <c r="K75" s="2"/>
      <c r="L75" s="6">
        <f t="shared" si="30"/>
        <v>-20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40</v>
      </c>
      <c r="U75" s="2"/>
      <c r="V75" s="7">
        <f t="shared" si="33"/>
        <v>5.0977038667358252E-5</v>
      </c>
      <c r="W75" s="2"/>
      <c r="X75" s="6">
        <f t="shared" si="34"/>
        <v>-40</v>
      </c>
      <c r="Y75" s="2"/>
      <c r="Z75" s="7">
        <f t="shared" si="35"/>
        <v>-1</v>
      </c>
    </row>
    <row r="76" spans="1:26" s="29" customFormat="1" outlineLevel="1" collapsed="1" x14ac:dyDescent="0.25">
      <c r="A76" s="28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SUM(OSRRefD22_6x_0)</f>
        <v>179.14000000000001</v>
      </c>
      <c r="E76" s="1"/>
      <c r="F76" s="5">
        <f t="shared" si="28"/>
        <v>3.6434924223330425E-4</v>
      </c>
      <c r="G76" s="1"/>
      <c r="H76" s="1">
        <f>SUM(OSRRefH22_6x_0)</f>
        <v>15</v>
      </c>
      <c r="I76" s="1"/>
      <c r="J76" s="5">
        <f t="shared" si="29"/>
        <v>3.3232675252512945E-5</v>
      </c>
      <c r="K76" s="1"/>
      <c r="L76" s="1">
        <f t="shared" si="30"/>
        <v>164.14000000000001</v>
      </c>
      <c r="M76" s="1"/>
      <c r="N76" s="5">
        <f t="shared" si="31"/>
        <v>10.942666666666668</v>
      </c>
      <c r="O76" s="14"/>
      <c r="P76" s="1">
        <f>SUM(OSRRefP22_6x_0)</f>
        <v>189.75</v>
      </c>
      <c r="Q76" s="1"/>
      <c r="R76" s="5">
        <f t="shared" si="32"/>
        <v>2.7121161010378801E-4</v>
      </c>
      <c r="S76" s="1"/>
      <c r="T76" s="1">
        <f>SUM(OSRRefT22_6x_0)</f>
        <v>30</v>
      </c>
      <c r="U76" s="1"/>
      <c r="V76" s="5">
        <f t="shared" si="33"/>
        <v>3.8232779000518689E-5</v>
      </c>
      <c r="W76" s="1"/>
      <c r="X76" s="1">
        <f t="shared" si="34"/>
        <v>159.75</v>
      </c>
      <c r="Y76" s="1"/>
      <c r="Z76" s="5">
        <f t="shared" si="35"/>
        <v>5.3250000000000002</v>
      </c>
    </row>
    <row r="77" spans="1:26" s="24" customFormat="1" hidden="1" outlineLevel="2" x14ac:dyDescent="0.25">
      <c r="A77" s="27"/>
      <c r="B77" s="11" t="str">
        <f>CONCATENATE("          ", "6305", " - ", "FREIGHT OUT")</f>
        <v xml:space="preserve">          6305 - FREIGHT OUT</v>
      </c>
      <c r="C77" s="11"/>
      <c r="D77" s="6">
        <v>175.34</v>
      </c>
      <c r="E77" s="2"/>
      <c r="F77" s="7">
        <f t="shared" si="28"/>
        <v>3.5662049867805939E-4</v>
      </c>
      <c r="G77" s="2"/>
      <c r="H77" s="6">
        <v>15</v>
      </c>
      <c r="I77" s="2"/>
      <c r="J77" s="7">
        <f t="shared" si="29"/>
        <v>3.3232675252512945E-5</v>
      </c>
      <c r="K77" s="2"/>
      <c r="L77" s="6">
        <f t="shared" si="30"/>
        <v>160.34</v>
      </c>
      <c r="M77" s="2"/>
      <c r="N77" s="7">
        <f t="shared" si="31"/>
        <v>10.689333333333334</v>
      </c>
      <c r="O77" s="11"/>
      <c r="P77" s="6">
        <v>180.95</v>
      </c>
      <c r="Q77" s="2"/>
      <c r="R77" s="7">
        <f t="shared" si="32"/>
        <v>2.5863368035984418E-4</v>
      </c>
      <c r="S77" s="2"/>
      <c r="T77" s="6">
        <v>30</v>
      </c>
      <c r="U77" s="2"/>
      <c r="V77" s="7">
        <f t="shared" si="33"/>
        <v>3.8232779000518689E-5</v>
      </c>
      <c r="W77" s="2"/>
      <c r="X77" s="6">
        <f t="shared" si="34"/>
        <v>150.94999999999999</v>
      </c>
      <c r="Y77" s="2"/>
      <c r="Z77" s="7">
        <f t="shared" si="35"/>
        <v>5.0316666666666663</v>
      </c>
    </row>
    <row r="78" spans="1:26" s="24" customFormat="1" hidden="1" outlineLevel="2" x14ac:dyDescent="0.25">
      <c r="A78" s="27"/>
      <c r="B78" s="11" t="str">
        <f>CONCATENATE("          ", "6307", " - ", "POSTAGE")</f>
        <v xml:space="preserve">          6307 - POSTAGE</v>
      </c>
      <c r="C78" s="11"/>
      <c r="D78" s="6">
        <v>3.8</v>
      </c>
      <c r="E78" s="2"/>
      <c r="F78" s="7">
        <f t="shared" si="28"/>
        <v>7.7287435552448136E-6</v>
      </c>
      <c r="G78" s="2"/>
      <c r="H78" s="6"/>
      <c r="I78" s="2"/>
      <c r="J78" s="7">
        <f t="shared" si="29"/>
        <v>0</v>
      </c>
      <c r="K78" s="2"/>
      <c r="L78" s="6">
        <f t="shared" si="30"/>
        <v>3.8</v>
      </c>
      <c r="M78" s="2"/>
      <c r="N78" s="7">
        <f t="shared" si="31"/>
        <v>0</v>
      </c>
      <c r="O78" s="11"/>
      <c r="P78" s="6">
        <v>8.8000000000000007</v>
      </c>
      <c r="Q78" s="2"/>
      <c r="R78" s="7">
        <f t="shared" si="32"/>
        <v>1.2577929743943792E-5</v>
      </c>
      <c r="S78" s="2"/>
      <c r="T78" s="6"/>
      <c r="U78" s="2"/>
      <c r="V78" s="7">
        <f t="shared" si="33"/>
        <v>0</v>
      </c>
      <c r="W78" s="2"/>
      <c r="X78" s="6">
        <f t="shared" si="34"/>
        <v>8.8000000000000007</v>
      </c>
      <c r="Y78" s="2"/>
      <c r="Z78" s="7">
        <f t="shared" si="35"/>
        <v>0</v>
      </c>
    </row>
    <row r="79" spans="1:26" s="29" customFormat="1" outlineLevel="1" collapsed="1" x14ac:dyDescent="0.25">
      <c r="A79" s="28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SUM(OSRRefD22_7x_0)</f>
        <v>0</v>
      </c>
      <c r="E79" s="1"/>
      <c r="F79" s="5">
        <f t="shared" ref="F79:F88" si="36">IF(D$12=0,0,D79/D$12)</f>
        <v>0</v>
      </c>
      <c r="G79" s="1"/>
      <c r="H79" s="1">
        <f>SUM(OSRRefH22_7x_0)</f>
        <v>30</v>
      </c>
      <c r="I79" s="1"/>
      <c r="J79" s="5">
        <f t="shared" ref="J79:J88" si="37">IF(H$12=0,0,H79/H$12)</f>
        <v>6.6465350505025891E-5</v>
      </c>
      <c r="K79" s="1"/>
      <c r="L79" s="1">
        <f t="shared" ref="L79:L88" si="38">+D79-H79</f>
        <v>-30</v>
      </c>
      <c r="M79" s="1"/>
      <c r="N79" s="5">
        <f t="shared" ref="N79:N88" si="39">IF(H79=0,0,L79/H79)</f>
        <v>-1</v>
      </c>
      <c r="O79" s="14"/>
      <c r="P79" s="1">
        <f>SUM(OSRRefP22_7x_0)</f>
        <v>-30.15</v>
      </c>
      <c r="Q79" s="1"/>
      <c r="R79" s="5">
        <f t="shared" ref="R79:R88" si="40">IF(P$12=0,0,P79/P$12)</f>
        <v>-4.3093702474989239E-5</v>
      </c>
      <c r="S79" s="1"/>
      <c r="T79" s="1">
        <f>SUM(OSRRefT22_7x_0)</f>
        <v>60</v>
      </c>
      <c r="U79" s="1"/>
      <c r="V79" s="5">
        <f t="shared" ref="V79:V88" si="41">IF(T$12=0,0,T79/T$12)</f>
        <v>7.6465558001037379E-5</v>
      </c>
      <c r="W79" s="1"/>
      <c r="X79" s="1">
        <f t="shared" ref="X79:X88" si="42">+P79-T79</f>
        <v>-90.15</v>
      </c>
      <c r="Y79" s="1"/>
      <c r="Z79" s="5">
        <f t="shared" ref="Z79:Z88" si="43">IF(T79=0,0,X79/T79)</f>
        <v>-1.5025000000000002</v>
      </c>
    </row>
    <row r="80" spans="1:26" s="24" customFormat="1" hidden="1" outlineLevel="2" x14ac:dyDescent="0.25">
      <c r="A80" s="27"/>
      <c r="B80" s="11" t="str">
        <f>CONCATENATE("          ", "6279", " - ", "GENERAL EXPENSE")</f>
        <v xml:space="preserve">          6279 - GENERAL EXPENSE</v>
      </c>
      <c r="C80" s="11"/>
      <c r="D80" s="6"/>
      <c r="E80" s="2"/>
      <c r="F80" s="7">
        <f t="shared" si="36"/>
        <v>0</v>
      </c>
      <c r="G80" s="2"/>
      <c r="H80" s="6">
        <v>30</v>
      </c>
      <c r="I80" s="2"/>
      <c r="J80" s="7">
        <f t="shared" si="37"/>
        <v>6.6465350505025891E-5</v>
      </c>
      <c r="K80" s="2"/>
      <c r="L80" s="6">
        <f t="shared" si="38"/>
        <v>-30</v>
      </c>
      <c r="M80" s="2"/>
      <c r="N80" s="7">
        <f t="shared" si="39"/>
        <v>-1</v>
      </c>
      <c r="O80" s="11"/>
      <c r="P80" s="6">
        <v>-30.15</v>
      </c>
      <c r="Q80" s="2"/>
      <c r="R80" s="7">
        <f t="shared" si="40"/>
        <v>-4.3093702474989239E-5</v>
      </c>
      <c r="S80" s="2"/>
      <c r="T80" s="6">
        <v>60</v>
      </c>
      <c r="U80" s="2"/>
      <c r="V80" s="7">
        <f t="shared" si="41"/>
        <v>7.6465558001037379E-5</v>
      </c>
      <c r="W80" s="2"/>
      <c r="X80" s="6">
        <f t="shared" si="42"/>
        <v>-90.15</v>
      </c>
      <c r="Y80" s="2"/>
      <c r="Z80" s="7">
        <f t="shared" si="43"/>
        <v>-1.5025000000000002</v>
      </c>
    </row>
    <row r="81" spans="1:26" s="29" customFormat="1" outlineLevel="1" collapsed="1" x14ac:dyDescent="0.25">
      <c r="A81" s="28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SUM(OSRRefD22_8x_0)</f>
        <v>1250</v>
      </c>
      <c r="E81" s="1"/>
      <c r="F81" s="5">
        <f t="shared" si="36"/>
        <v>2.542349853698952E-3</v>
      </c>
      <c r="G81" s="1"/>
      <c r="H81" s="1">
        <f>SUM(OSRRefH22_8x_0)</f>
        <v>1250</v>
      </c>
      <c r="I81" s="1"/>
      <c r="J81" s="5">
        <f t="shared" si="37"/>
        <v>2.7693896043760788E-3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SUM(OSRRefP22_8x_0)</f>
        <v>2500</v>
      </c>
      <c r="Q81" s="1"/>
      <c r="R81" s="5">
        <f t="shared" si="40"/>
        <v>3.5732754954385772E-3</v>
      </c>
      <c r="S81" s="1"/>
      <c r="T81" s="1">
        <f>SUM(OSRRefT22_8x_0)</f>
        <v>2500</v>
      </c>
      <c r="U81" s="1"/>
      <c r="V81" s="5">
        <f t="shared" si="41"/>
        <v>3.1860649167098909E-3</v>
      </c>
      <c r="W81" s="1"/>
      <c r="X81" s="1">
        <f t="shared" si="42"/>
        <v>0</v>
      </c>
      <c r="Y81" s="1"/>
      <c r="Z81" s="5">
        <f t="shared" si="43"/>
        <v>0</v>
      </c>
    </row>
    <row r="82" spans="1:26" s="24" customFormat="1" hidden="1" outlineLevel="2" x14ac:dyDescent="0.25">
      <c r="A82" s="27"/>
      <c r="B82" s="11" t="str">
        <f>CONCATENATE("          ", "6408", " - ", "INVENTORY ADJUSTMENT")</f>
        <v xml:space="preserve">          6408 - INVENTORY ADJUSTMENT</v>
      </c>
      <c r="C82" s="11"/>
      <c r="D82" s="6">
        <v>1250</v>
      </c>
      <c r="E82" s="2"/>
      <c r="F82" s="7">
        <f t="shared" si="36"/>
        <v>2.542349853698952E-3</v>
      </c>
      <c r="G82" s="2"/>
      <c r="H82" s="6">
        <v>1250</v>
      </c>
      <c r="I82" s="2"/>
      <c r="J82" s="7">
        <f t="shared" si="37"/>
        <v>2.7693896043760788E-3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>
        <v>2500</v>
      </c>
      <c r="Q82" s="2"/>
      <c r="R82" s="7">
        <f t="shared" si="40"/>
        <v>3.5732754954385772E-3</v>
      </c>
      <c r="S82" s="2"/>
      <c r="T82" s="6">
        <v>2500</v>
      </c>
      <c r="U82" s="2"/>
      <c r="V82" s="7">
        <f t="shared" si="41"/>
        <v>3.1860649167098909E-3</v>
      </c>
      <c r="W82" s="2"/>
      <c r="X82" s="6">
        <f t="shared" si="42"/>
        <v>0</v>
      </c>
      <c r="Y82" s="2"/>
      <c r="Z82" s="7">
        <f t="shared" si="43"/>
        <v>0</v>
      </c>
    </row>
    <row r="83" spans="1:26" s="29" customFormat="1" outlineLevel="1" collapsed="1" x14ac:dyDescent="0.25">
      <c r="A83" s="28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SUM(OSRRefD22_9x_0)</f>
        <v>0</v>
      </c>
      <c r="E83" s="1"/>
      <c r="F83" s="5">
        <f t="shared" si="36"/>
        <v>0</v>
      </c>
      <c r="G83" s="1"/>
      <c r="H83" s="1">
        <f>SUM(OSRRefH22_9x_0)</f>
        <v>20</v>
      </c>
      <c r="I83" s="1"/>
      <c r="J83" s="5">
        <f t="shared" si="37"/>
        <v>4.4310233670017256E-5</v>
      </c>
      <c r="K83" s="1"/>
      <c r="L83" s="1">
        <f t="shared" si="38"/>
        <v>-20</v>
      </c>
      <c r="M83" s="1"/>
      <c r="N83" s="5">
        <f t="shared" si="39"/>
        <v>-1</v>
      </c>
      <c r="O83" s="14"/>
      <c r="P83" s="1">
        <f>SUM(OSRRefP22_9x_0)</f>
        <v>0</v>
      </c>
      <c r="Q83" s="1"/>
      <c r="R83" s="5">
        <f t="shared" si="40"/>
        <v>0</v>
      </c>
      <c r="S83" s="1"/>
      <c r="T83" s="1">
        <f>SUM(OSRRefT22_9x_0)</f>
        <v>45</v>
      </c>
      <c r="U83" s="1"/>
      <c r="V83" s="5">
        <f t="shared" si="41"/>
        <v>5.7349168500778037E-5</v>
      </c>
      <c r="W83" s="1"/>
      <c r="X83" s="1">
        <f t="shared" si="42"/>
        <v>-45</v>
      </c>
      <c r="Y83" s="1"/>
      <c r="Z83" s="5">
        <f t="shared" si="43"/>
        <v>-1</v>
      </c>
    </row>
    <row r="84" spans="1:26" s="24" customFormat="1" hidden="1" outlineLevel="2" x14ac:dyDescent="0.25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/>
      <c r="E84" s="2"/>
      <c r="F84" s="7">
        <f t="shared" si="36"/>
        <v>0</v>
      </c>
      <c r="G84" s="2"/>
      <c r="H84" s="6">
        <v>20</v>
      </c>
      <c r="I84" s="2"/>
      <c r="J84" s="7">
        <f t="shared" si="37"/>
        <v>4.4310233670017256E-5</v>
      </c>
      <c r="K84" s="2"/>
      <c r="L84" s="6">
        <f t="shared" si="38"/>
        <v>-20</v>
      </c>
      <c r="M84" s="2"/>
      <c r="N84" s="7">
        <f t="shared" si="39"/>
        <v>-1</v>
      </c>
      <c r="O84" s="11"/>
      <c r="P84" s="6"/>
      <c r="Q84" s="2"/>
      <c r="R84" s="7">
        <f t="shared" si="40"/>
        <v>0</v>
      </c>
      <c r="S84" s="2"/>
      <c r="T84" s="6">
        <v>45</v>
      </c>
      <c r="U84" s="2"/>
      <c r="V84" s="7">
        <f t="shared" si="41"/>
        <v>5.7349168500778037E-5</v>
      </c>
      <c r="W84" s="2"/>
      <c r="X84" s="6">
        <f t="shared" si="42"/>
        <v>-45</v>
      </c>
      <c r="Y84" s="2"/>
      <c r="Z84" s="7">
        <f t="shared" si="43"/>
        <v>-1</v>
      </c>
    </row>
    <row r="85" spans="1:26" s="29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SUM(OSRRefD22_10x_0)</f>
        <v>787.43</v>
      </c>
      <c r="E85" s="1"/>
      <c r="F85" s="5">
        <f t="shared" si="36"/>
        <v>1.6015380362385326E-3</v>
      </c>
      <c r="G85" s="1"/>
      <c r="H85" s="1">
        <f>SUM(OSRRefH22_10x_0)</f>
        <v>310</v>
      </c>
      <c r="I85" s="1"/>
      <c r="J85" s="5">
        <f t="shared" si="37"/>
        <v>6.8680862188526747E-4</v>
      </c>
      <c r="K85" s="1"/>
      <c r="L85" s="1">
        <f t="shared" si="38"/>
        <v>477.42999999999995</v>
      </c>
      <c r="M85" s="1"/>
      <c r="N85" s="5">
        <f t="shared" si="39"/>
        <v>1.5400967741935483</v>
      </c>
      <c r="O85" s="14"/>
      <c r="P85" s="1">
        <f>SUM(OSRRefP22_10x_0)</f>
        <v>1455.55</v>
      </c>
      <c r="Q85" s="1"/>
      <c r="R85" s="5">
        <f t="shared" si="40"/>
        <v>2.0804324589542484E-3</v>
      </c>
      <c r="S85" s="1"/>
      <c r="T85" s="1">
        <f>SUM(OSRRefT22_10x_0)</f>
        <v>620</v>
      </c>
      <c r="U85" s="1"/>
      <c r="V85" s="5">
        <f t="shared" si="41"/>
        <v>7.9014409934405295E-4</v>
      </c>
      <c r="W85" s="1"/>
      <c r="X85" s="1">
        <f t="shared" si="42"/>
        <v>835.55</v>
      </c>
      <c r="Y85" s="1"/>
      <c r="Z85" s="5">
        <f t="shared" si="43"/>
        <v>1.3476612903225806</v>
      </c>
    </row>
    <row r="86" spans="1:26" s="24" customFormat="1" hidden="1" outlineLevel="2" x14ac:dyDescent="0.25">
      <c r="A86" s="27"/>
      <c r="B86" s="11" t="str">
        <f>CONCATENATE("          ", "6235", " - ", "COVID-19 EXPENSES")</f>
        <v xml:space="preserve">          6235 - COVID-19 EXPENSES</v>
      </c>
      <c r="C86" s="11"/>
      <c r="D86" s="6"/>
      <c r="E86" s="2"/>
      <c r="F86" s="7">
        <f t="shared" si="36"/>
        <v>0</v>
      </c>
      <c r="G86" s="2"/>
      <c r="H86" s="6"/>
      <c r="I86" s="2"/>
      <c r="J86" s="7">
        <f t="shared" si="37"/>
        <v>0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668.12</v>
      </c>
      <c r="Q86" s="2"/>
      <c r="R86" s="7">
        <f t="shared" si="40"/>
        <v>9.5495072960496887E-4</v>
      </c>
      <c r="S86" s="2"/>
      <c r="T86" s="6"/>
      <c r="U86" s="2"/>
      <c r="V86" s="7">
        <f t="shared" si="41"/>
        <v>0</v>
      </c>
      <c r="W86" s="2"/>
      <c r="X86" s="6">
        <f t="shared" si="42"/>
        <v>668.12</v>
      </c>
      <c r="Y86" s="2"/>
      <c r="Z86" s="7">
        <f t="shared" si="43"/>
        <v>0</v>
      </c>
    </row>
    <row r="87" spans="1:26" s="24" customFormat="1" hidden="1" outlineLevel="2" x14ac:dyDescent="0.25">
      <c r="A87" s="27"/>
      <c r="B87" s="11" t="str">
        <f>CONCATENATE("          ", "6241", " - ", "OFFICE EXPENSE")</f>
        <v xml:space="preserve">          6241 - OFFICE EXPENSE</v>
      </c>
      <c r="C87" s="11"/>
      <c r="D87" s="6">
        <v>787.43</v>
      </c>
      <c r="E87" s="2"/>
      <c r="F87" s="7">
        <f t="shared" si="36"/>
        <v>1.6015380362385326E-3</v>
      </c>
      <c r="G87" s="2"/>
      <c r="H87" s="6">
        <v>110</v>
      </c>
      <c r="I87" s="2"/>
      <c r="J87" s="7">
        <f t="shared" si="37"/>
        <v>2.4370628518509491E-4</v>
      </c>
      <c r="K87" s="2"/>
      <c r="L87" s="6">
        <f t="shared" si="38"/>
        <v>677.43</v>
      </c>
      <c r="M87" s="2"/>
      <c r="N87" s="7">
        <f t="shared" si="39"/>
        <v>6.1584545454545454</v>
      </c>
      <c r="O87" s="11"/>
      <c r="P87" s="6">
        <v>787.43</v>
      </c>
      <c r="Q87" s="2"/>
      <c r="R87" s="7">
        <f t="shared" si="40"/>
        <v>1.1254817293492795E-3</v>
      </c>
      <c r="S87" s="2"/>
      <c r="T87" s="6">
        <v>220</v>
      </c>
      <c r="U87" s="2"/>
      <c r="V87" s="7">
        <f t="shared" si="41"/>
        <v>2.8037371267047043E-4</v>
      </c>
      <c r="W87" s="2"/>
      <c r="X87" s="6">
        <f t="shared" si="42"/>
        <v>567.42999999999995</v>
      </c>
      <c r="Y87" s="2"/>
      <c r="Z87" s="7">
        <f t="shared" si="43"/>
        <v>2.5792272727272727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/>
      <c r="E88" s="2"/>
      <c r="F88" s="7">
        <f t="shared" si="36"/>
        <v>0</v>
      </c>
      <c r="G88" s="2"/>
      <c r="H88" s="6">
        <v>200</v>
      </c>
      <c r="I88" s="2"/>
      <c r="J88" s="7">
        <f t="shared" si="37"/>
        <v>4.4310233670017259E-4</v>
      </c>
      <c r="K88" s="2"/>
      <c r="L88" s="6">
        <f t="shared" si="38"/>
        <v>-200</v>
      </c>
      <c r="M88" s="2"/>
      <c r="N88" s="7">
        <f t="shared" si="39"/>
        <v>-1</v>
      </c>
      <c r="O88" s="11"/>
      <c r="P88" s="6"/>
      <c r="Q88" s="2"/>
      <c r="R88" s="7">
        <f t="shared" si="40"/>
        <v>0</v>
      </c>
      <c r="S88" s="2"/>
      <c r="T88" s="6">
        <v>400</v>
      </c>
      <c r="U88" s="2"/>
      <c r="V88" s="7">
        <f t="shared" si="41"/>
        <v>5.0977038667358258E-4</v>
      </c>
      <c r="W88" s="2"/>
      <c r="X88" s="6">
        <f t="shared" si="42"/>
        <v>-400</v>
      </c>
      <c r="Y88" s="2"/>
      <c r="Z88" s="7">
        <f t="shared" si="43"/>
        <v>-1</v>
      </c>
    </row>
    <row r="89" spans="1:26" s="29" customFormat="1" outlineLevel="1" collapsed="1" x14ac:dyDescent="0.25">
      <c r="A89" s="28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SUM(OSRRefD22_11x_0)</f>
        <v>306.75</v>
      </c>
      <c r="E89" s="1"/>
      <c r="F89" s="5">
        <f t="shared" ref="F89:F90" si="44">IF(D$12=0,0,D89/D$12)</f>
        <v>6.2389265409772284E-4</v>
      </c>
      <c r="G89" s="1"/>
      <c r="H89" s="1">
        <f>SUM(OSRRefH22_11x_0)</f>
        <v>250</v>
      </c>
      <c r="I89" s="1"/>
      <c r="J89" s="5">
        <f t="shared" ref="J89:J90" si="45">IF(H$12=0,0,H89/H$12)</f>
        <v>5.5387792087521575E-4</v>
      </c>
      <c r="K89" s="1"/>
      <c r="L89" s="1">
        <f t="shared" ref="L89:L90" si="46">+D89-H89</f>
        <v>56.75</v>
      </c>
      <c r="M89" s="1"/>
      <c r="N89" s="5">
        <f t="shared" ref="N89:N90" si="47">IF(H89=0,0,L89/H89)</f>
        <v>0.22700000000000001</v>
      </c>
      <c r="O89" s="14"/>
      <c r="P89" s="1">
        <f>SUM(OSRRefP22_11x_0)</f>
        <v>611.54999999999995</v>
      </c>
      <c r="Q89" s="1"/>
      <c r="R89" s="5">
        <f t="shared" ref="R89:R90" si="48">IF(P$12=0,0,P89/P$12)</f>
        <v>8.7409465169418468E-4</v>
      </c>
      <c r="S89" s="1"/>
      <c r="T89" s="1">
        <f>SUM(OSRRefT22_11x_0)</f>
        <v>510</v>
      </c>
      <c r="U89" s="1"/>
      <c r="V89" s="5">
        <f t="shared" ref="V89:V90" si="49">IF(T$12=0,0,T89/T$12)</f>
        <v>6.4995724300881776E-4</v>
      </c>
      <c r="W89" s="1"/>
      <c r="X89" s="1">
        <f t="shared" ref="X89:X90" si="50">+P89-T89</f>
        <v>101.54999999999995</v>
      </c>
      <c r="Y89" s="1"/>
      <c r="Z89" s="5">
        <f t="shared" ref="Z89:Z90" si="51">IF(T89=0,0,X89/T89)</f>
        <v>0.19911764705882343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306.75</v>
      </c>
      <c r="E90" s="2"/>
      <c r="F90" s="7">
        <f t="shared" si="44"/>
        <v>6.2389265409772284E-4</v>
      </c>
      <c r="G90" s="2"/>
      <c r="H90" s="6">
        <v>250</v>
      </c>
      <c r="I90" s="2"/>
      <c r="J90" s="7">
        <f t="shared" si="45"/>
        <v>5.5387792087521575E-4</v>
      </c>
      <c r="K90" s="2"/>
      <c r="L90" s="6">
        <f t="shared" si="46"/>
        <v>56.75</v>
      </c>
      <c r="M90" s="2"/>
      <c r="N90" s="7">
        <f t="shared" si="47"/>
        <v>0.22700000000000001</v>
      </c>
      <c r="O90" s="11"/>
      <c r="P90" s="6">
        <v>611.54999999999995</v>
      </c>
      <c r="Q90" s="2"/>
      <c r="R90" s="7">
        <f t="shared" si="48"/>
        <v>8.7409465169418468E-4</v>
      </c>
      <c r="S90" s="2"/>
      <c r="T90" s="6">
        <v>510</v>
      </c>
      <c r="U90" s="2"/>
      <c r="V90" s="7">
        <f t="shared" si="49"/>
        <v>6.4995724300881776E-4</v>
      </c>
      <c r="W90" s="2"/>
      <c r="X90" s="6">
        <f t="shared" si="50"/>
        <v>101.54999999999995</v>
      </c>
      <c r="Y90" s="2"/>
      <c r="Z90" s="7">
        <f t="shared" si="51"/>
        <v>0.19911764705882343</v>
      </c>
    </row>
    <row r="91" spans="1:26" s="61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2" customFormat="1" collapsed="1" x14ac:dyDescent="0.25">
      <c r="A92" s="10"/>
      <c r="B92" s="25" t="s">
        <v>0</v>
      </c>
      <c r="C92" s="10"/>
      <c r="D92" s="4">
        <f>SUM(OSRRefD25x_0)</f>
        <v>-138.80000000000001</v>
      </c>
      <c r="E92" s="4"/>
      <c r="F92" s="12">
        <f t="shared" ref="F92:F94" si="52">IF(D$12=0,0,D92/D$12)</f>
        <v>-2.8230252775473163E-4</v>
      </c>
      <c r="G92" s="4"/>
      <c r="H92" s="4">
        <f>SUM(OSRRefH25x_0)</f>
        <v>3589</v>
      </c>
      <c r="I92" s="4"/>
      <c r="J92" s="12">
        <f t="shared" ref="J92:J94" si="53">IF(H$12=0,0,H92/H$12)</f>
        <v>7.9514714320845972E-3</v>
      </c>
      <c r="K92" s="4"/>
      <c r="L92" s="4">
        <f t="shared" ref="L92:L94" si="54">+D92-H92</f>
        <v>-3727.8</v>
      </c>
      <c r="M92" s="4"/>
      <c r="N92" s="12">
        <f t="shared" ref="N92:N94" si="55">IF(H92=0,0,L92/H92)</f>
        <v>-1.0386737252716636</v>
      </c>
      <c r="O92" s="10"/>
      <c r="P92" s="4">
        <f>SUM(OSRRefP25x_0)</f>
        <v>-514.16</v>
      </c>
      <c r="Q92" s="4"/>
      <c r="R92" s="12">
        <f t="shared" ref="R92:R94" si="56">IF(P$12=0,0,P92/P$12)</f>
        <v>-7.3489413149387952E-4</v>
      </c>
      <c r="S92" s="4"/>
      <c r="T92" s="4">
        <f>SUM(OSRRefT25x_0)</f>
        <v>6240</v>
      </c>
      <c r="U92" s="4"/>
      <c r="V92" s="12">
        <f t="shared" ref="V92:V94" si="57">IF(T$12=0,0,T92/T$12)</f>
        <v>7.9524180321078886E-3</v>
      </c>
      <c r="W92" s="4"/>
      <c r="X92" s="4">
        <f t="shared" ref="X92:X94" si="58">+P92-T92</f>
        <v>-6754.16</v>
      </c>
      <c r="Y92" s="4"/>
      <c r="Z92" s="12">
        <f t="shared" ref="Z92:Z94" si="59">IF(T92=0,0,X92/T92)</f>
        <v>-1.082397435897436</v>
      </c>
    </row>
    <row r="93" spans="1:26" s="24" customFormat="1" hidden="1" outlineLevel="1" x14ac:dyDescent="0.25">
      <c r="A93" s="51"/>
      <c r="B93" s="11" t="str">
        <f>CONCATENATE("          ", "4187", " - ", "NON-TAXABLE SALES-COMPUTER REP")</f>
        <v xml:space="preserve">          4187 - NON-TAXABLE SALES-COMPUTER REP</v>
      </c>
      <c r="C93" s="11"/>
      <c r="D93" s="2">
        <f>0</f>
        <v>0</v>
      </c>
      <c r="E93" s="2"/>
      <c r="F93" s="23">
        <f t="shared" si="52"/>
        <v>0</v>
      </c>
      <c r="G93" s="2"/>
      <c r="H93" s="2"/>
      <c r="I93" s="2"/>
      <c r="J93" s="23">
        <f t="shared" si="53"/>
        <v>0</v>
      </c>
      <c r="K93" s="2"/>
      <c r="L93" s="2">
        <f t="shared" si="54"/>
        <v>0</v>
      </c>
      <c r="M93" s="2"/>
      <c r="N93" s="23">
        <f t="shared" si="55"/>
        <v>0</v>
      </c>
      <c r="O93" s="11"/>
      <c r="P93" s="2">
        <f>--19.99</f>
        <v>19.989999999999998</v>
      </c>
      <c r="Q93" s="2"/>
      <c r="R93" s="23">
        <f t="shared" si="56"/>
        <v>2.8571910861526861E-5</v>
      </c>
      <c r="S93" s="2"/>
      <c r="T93" s="2"/>
      <c r="U93" s="2"/>
      <c r="V93" s="23">
        <f t="shared" si="57"/>
        <v>0</v>
      </c>
      <c r="W93" s="2"/>
      <c r="X93" s="2">
        <f t="shared" si="58"/>
        <v>19.989999999999998</v>
      </c>
      <c r="Y93" s="2"/>
      <c r="Z93" s="23">
        <f t="shared" si="59"/>
        <v>0</v>
      </c>
    </row>
    <row r="94" spans="1:26" s="24" customFormat="1" hidden="1" outlineLevel="1" x14ac:dyDescent="0.25">
      <c r="A94" s="51"/>
      <c r="B94" s="11" t="str">
        <f>CONCATENATE("          ", "9150", " - ", "MISC. INCOME")</f>
        <v xml:space="preserve">          9150 - MISC. INCOME</v>
      </c>
      <c r="C94" s="11"/>
      <c r="D94" s="2">
        <f>-138.8</f>
        <v>-138.80000000000001</v>
      </c>
      <c r="E94" s="2"/>
      <c r="F94" s="23">
        <f t="shared" si="52"/>
        <v>-2.8230252775473163E-4</v>
      </c>
      <c r="G94" s="2"/>
      <c r="H94" s="2">
        <v>3589</v>
      </c>
      <c r="I94" s="2"/>
      <c r="J94" s="23">
        <f t="shared" si="53"/>
        <v>7.9514714320845972E-3</v>
      </c>
      <c r="K94" s="2"/>
      <c r="L94" s="2">
        <f t="shared" si="54"/>
        <v>-3727.8</v>
      </c>
      <c r="M94" s="2"/>
      <c r="N94" s="23">
        <f t="shared" si="55"/>
        <v>-1.0386737252716636</v>
      </c>
      <c r="O94" s="11"/>
      <c r="P94" s="2">
        <f>-534.15</f>
        <v>-534.15</v>
      </c>
      <c r="Q94" s="2"/>
      <c r="R94" s="23">
        <f t="shared" si="56"/>
        <v>-7.6346604235540637E-4</v>
      </c>
      <c r="S94" s="2"/>
      <c r="T94" s="2">
        <v>6240</v>
      </c>
      <c r="U94" s="2"/>
      <c r="V94" s="23">
        <f t="shared" si="57"/>
        <v>7.9524180321078886E-3</v>
      </c>
      <c r="W94" s="2"/>
      <c r="X94" s="2">
        <f t="shared" si="58"/>
        <v>-6774.15</v>
      </c>
      <c r="Y94" s="2"/>
      <c r="Z94" s="23">
        <f t="shared" si="59"/>
        <v>-1.0856009615384614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2" customFormat="1" x14ac:dyDescent="0.25">
      <c r="A96" s="10"/>
      <c r="B96" s="26" t="s">
        <v>3</v>
      </c>
      <c r="C96" s="26"/>
      <c r="D96" s="21">
        <f>+D43-D45+D92</f>
        <v>-2067.4899999999461</v>
      </c>
      <c r="E96" s="13"/>
      <c r="F96" s="20">
        <f>IF(D$12=0,0,D96/D$12)</f>
        <v>-4.2050263192191274E-3</v>
      </c>
      <c r="G96" s="13"/>
      <c r="H96" s="21">
        <f>+H43-H45+H92</f>
        <v>81607.737917153849</v>
      </c>
      <c r="I96" s="13"/>
      <c r="J96" s="20">
        <f>IF(H$12=0,0,H96/H$12)</f>
        <v>0.18080289681953074</v>
      </c>
      <c r="K96" s="16"/>
      <c r="L96" s="21">
        <f>+D96-H96</f>
        <v>-83675.227917153796</v>
      </c>
      <c r="M96" s="16"/>
      <c r="N96" s="20">
        <f>IF(H96=0,0,L96/H96)</f>
        <v>-1.0253344848511645</v>
      </c>
      <c r="O96" s="25"/>
      <c r="P96" s="21">
        <f>+P43-P45+P92</f>
        <v>9788.5600000001759</v>
      </c>
      <c r="Q96" s="13"/>
      <c r="R96" s="20">
        <f>IF(P$12=0,0,P96/P$12)</f>
        <v>1.3990888633452346E-2</v>
      </c>
      <c r="S96" s="13"/>
      <c r="T96" s="21">
        <f>+T43-T45+T92</f>
        <v>138121.02364859614</v>
      </c>
      <c r="U96" s="13"/>
      <c r="V96" s="20">
        <f>IF(T$12=0,0,T96/T$12)</f>
        <v>0.17602501908273974</v>
      </c>
      <c r="W96" s="16"/>
      <c r="X96" s="21">
        <f>+P96-T96</f>
        <v>-128332.46364859596</v>
      </c>
      <c r="Y96" s="16"/>
      <c r="Z96" s="20">
        <f>IF(T96=0,0,X96/T96)</f>
        <v>-0.9291305570909757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2" customFormat="1" x14ac:dyDescent="0.25">
      <c r="A98" s="52"/>
      <c r="B98" s="10" t="s">
        <v>14</v>
      </c>
      <c r="C98" s="10"/>
      <c r="D98" s="4">
        <v>17925.129999999997</v>
      </c>
      <c r="E98" s="4"/>
      <c r="F98" s="12">
        <f>IF(D$12=0,0,D98/D$12)</f>
        <v>3.6457561306427751E-2</v>
      </c>
      <c r="G98" s="4"/>
      <c r="H98" s="4">
        <v>-33766</v>
      </c>
      <c r="I98" s="4"/>
      <c r="J98" s="12">
        <f>IF(H$12=0,0,H98/H$12)</f>
        <v>-7.480896750509014E-2</v>
      </c>
      <c r="K98" s="4"/>
      <c r="L98" s="4">
        <f>+D98-H98</f>
        <v>51691.13</v>
      </c>
      <c r="M98" s="4"/>
      <c r="N98" s="12">
        <f>IF(H98=0,0,L98/H98)</f>
        <v>-1.5308632944381921</v>
      </c>
      <c r="O98" s="10"/>
      <c r="P98" s="4">
        <v>118124.60999999999</v>
      </c>
      <c r="Q98" s="4"/>
      <c r="R98" s="12">
        <f>IF(P$12=0,0,P98/P$12)</f>
        <v>0.16883670972849546</v>
      </c>
      <c r="S98" s="4"/>
      <c r="T98" s="4">
        <v>128139</v>
      </c>
      <c r="U98" s="4"/>
      <c r="V98" s="12">
        <f>IF(T$12=0,0,T98/T$12)</f>
        <v>0.16330366894491549</v>
      </c>
      <c r="W98" s="4"/>
      <c r="X98" s="4">
        <f>+P98-T98</f>
        <v>-10014.390000000014</v>
      </c>
      <c r="Y98" s="4"/>
      <c r="Z98" s="12">
        <f>IF(T98=0,0,X98/T98)</f>
        <v>-7.815255308688232E-2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2" customFormat="1" ht="15.75" thickBot="1" x14ac:dyDescent="0.3">
      <c r="A100" s="10"/>
      <c r="B100" s="26" t="s">
        <v>4</v>
      </c>
      <c r="C100" s="26"/>
      <c r="D100" s="33">
        <f>+D96-D98</f>
        <v>-19992.619999999944</v>
      </c>
      <c r="E100" s="13"/>
      <c r="F100" s="31">
        <f>IF(D$12=0,0,D100/D$12)</f>
        <v>-4.0662587625646882E-2</v>
      </c>
      <c r="G100" s="13"/>
      <c r="H100" s="33">
        <f>+H96-H98</f>
        <v>115373.73791715385</v>
      </c>
      <c r="I100" s="13"/>
      <c r="J100" s="31">
        <f>IF(H$12=0,0,H100/H$12)</f>
        <v>0.25561186432462085</v>
      </c>
      <c r="K100" s="16"/>
      <c r="L100" s="33">
        <f>D100-H100</f>
        <v>-135366.3579171538</v>
      </c>
      <c r="M100" s="16"/>
      <c r="N100" s="31">
        <f>IF(H100=0,0,L100/H100)</f>
        <v>-1.1732857092170839</v>
      </c>
      <c r="O100" s="25"/>
      <c r="P100" s="33">
        <f>+P96-P98</f>
        <v>-108336.04999999981</v>
      </c>
      <c r="Q100" s="13"/>
      <c r="R100" s="31">
        <f>IF(P$12=0,0,P100/P$12)</f>
        <v>-0.15484582109504311</v>
      </c>
      <c r="S100" s="13"/>
      <c r="T100" s="33">
        <f>+T96-T98</f>
        <v>9982.0236485961359</v>
      </c>
      <c r="U100" s="13"/>
      <c r="V100" s="31">
        <f>IF(T$12=0,0,T100/T$12)</f>
        <v>1.2721350137824244E-2</v>
      </c>
      <c r="W100" s="16"/>
      <c r="X100" s="33">
        <f>P100-T100</f>
        <v>-118318.07364859595</v>
      </c>
      <c r="Y100" s="16"/>
      <c r="Z100" s="31">
        <f>IF(T100=0,0,X100/T100)</f>
        <v>-11.853114940800216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2" customFormat="1" ht="15.75" thickBot="1" x14ac:dyDescent="0.3">
      <c r="A103" s="10"/>
      <c r="B103" s="26" t="s">
        <v>5</v>
      </c>
      <c r="C103" s="26"/>
      <c r="D103" s="32">
        <f>SUM(D100:D102)</f>
        <v>-19992.619999999944</v>
      </c>
      <c r="E103" s="13"/>
      <c r="F103" s="35">
        <f>IF(D$12=0,0,D103/D$12)</f>
        <v>-4.0662587625646882E-2</v>
      </c>
      <c r="G103" s="13"/>
      <c r="H103" s="32">
        <f>SUM(H100:H102)</f>
        <v>115373.73791715385</v>
      </c>
      <c r="I103" s="13"/>
      <c r="J103" s="35">
        <f>IF(H$12=0,0,H103/H$12)</f>
        <v>0.25561186432462085</v>
      </c>
      <c r="K103" s="16"/>
      <c r="L103" s="32">
        <f>+D103-H103</f>
        <v>-135366.3579171538</v>
      </c>
      <c r="M103" s="16"/>
      <c r="N103" s="35">
        <f>IF(H103=0,0,L103/H103)</f>
        <v>-1.1732857092170839</v>
      </c>
      <c r="O103" s="25"/>
      <c r="P103" s="32">
        <f>SUM(P100:P102)</f>
        <v>-108336.04999999981</v>
      </c>
      <c r="Q103" s="13"/>
      <c r="R103" s="35">
        <f>IF(P$12=0,0,P103/P$12)</f>
        <v>-0.15484582109504311</v>
      </c>
      <c r="S103" s="13"/>
      <c r="T103" s="32">
        <f>SUM(T100:T102)</f>
        <v>9982.0236485961359</v>
      </c>
      <c r="U103" s="13"/>
      <c r="V103" s="35">
        <f>IF(T$12=0,0,T103/T$12)</f>
        <v>1.2721350137824244E-2</v>
      </c>
      <c r="W103" s="16"/>
      <c r="X103" s="32">
        <f>+P103-T103</f>
        <v>-118318.07364859595</v>
      </c>
      <c r="Y103" s="16"/>
      <c r="Z103" s="35">
        <f>IF(T103=0,0,X103/T103)</f>
        <v>-11.853114940800216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59">
        <v>44113.689536030091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2" t="s">
        <v>314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63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307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824</v>
      </c>
      <c r="E12" s="4"/>
      <c r="F12" s="12"/>
      <c r="G12" s="4"/>
      <c r="H12" s="4">
        <f>SUM(OSRRefH13x_0)</f>
        <v>4750</v>
      </c>
      <c r="I12" s="4"/>
      <c r="J12" s="12"/>
      <c r="K12" s="4"/>
      <c r="L12" s="4">
        <f t="shared" ref="L12:L16" si="0">+D12-H12</f>
        <v>-3926</v>
      </c>
      <c r="M12" s="4"/>
      <c r="N12" s="12">
        <f t="shared" ref="N12:N16" si="1">IF(H12=0,0,L12/H12)</f>
        <v>-0.82652631578947366</v>
      </c>
      <c r="O12" s="10"/>
      <c r="P12" s="4">
        <f>SUM(OSRRefP13x_0)</f>
        <v>824</v>
      </c>
      <c r="Q12" s="4"/>
      <c r="R12" s="12"/>
      <c r="S12" s="4"/>
      <c r="T12" s="4">
        <f>SUM(OSRRefT13x_0)</f>
        <v>4800</v>
      </c>
      <c r="U12" s="4"/>
      <c r="V12" s="12"/>
      <c r="W12" s="4"/>
      <c r="X12" s="4">
        <f t="shared" ref="X12:X16" si="2">+P12-T12</f>
        <v>-3976</v>
      </c>
      <c r="Y12" s="4"/>
      <c r="Z12" s="12">
        <f t="shared" ref="Z12:Z16" si="3">IF(T12=0,0,X12/T12)</f>
        <v>-0.82833333333333337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>--88.2</f>
        <v>88.2</v>
      </c>
      <c r="E13" s="2"/>
      <c r="F13" s="23"/>
      <c r="G13" s="2"/>
      <c r="H13" s="2"/>
      <c r="I13" s="2"/>
      <c r="J13" s="23"/>
      <c r="K13" s="2"/>
      <c r="L13" s="2">
        <f t="shared" si="0"/>
        <v>88.2</v>
      </c>
      <c r="M13" s="2"/>
      <c r="N13" s="23">
        <f t="shared" si="1"/>
        <v>0</v>
      </c>
      <c r="O13" s="11"/>
      <c r="P13" s="2">
        <f>--88.2</f>
        <v>88.2</v>
      </c>
      <c r="Q13" s="2"/>
      <c r="R13" s="23"/>
      <c r="S13" s="2"/>
      <c r="T13" s="2"/>
      <c r="U13" s="2"/>
      <c r="V13" s="23"/>
      <c r="W13" s="2"/>
      <c r="X13" s="2">
        <f t="shared" si="2"/>
        <v>88.2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3"/>
      <c r="G14" s="2"/>
      <c r="H14" s="2">
        <v>4750</v>
      </c>
      <c r="I14" s="2"/>
      <c r="J14" s="23"/>
      <c r="K14" s="2"/>
      <c r="L14" s="2">
        <f t="shared" si="0"/>
        <v>-4750</v>
      </c>
      <c r="M14" s="2"/>
      <c r="N14" s="23">
        <f t="shared" si="1"/>
        <v>-1</v>
      </c>
      <c r="O14" s="11"/>
      <c r="P14" s="2">
        <f>0</f>
        <v>0</v>
      </c>
      <c r="Q14" s="2"/>
      <c r="R14" s="23"/>
      <c r="S14" s="2"/>
      <c r="T14" s="2">
        <v>4800</v>
      </c>
      <c r="U14" s="2"/>
      <c r="V14" s="23"/>
      <c r="W14" s="2"/>
      <c r="X14" s="2">
        <f t="shared" si="2"/>
        <v>-4800</v>
      </c>
      <c r="Y14" s="2"/>
      <c r="Z14" s="23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>--625.8</f>
        <v>625.79999999999995</v>
      </c>
      <c r="E15" s="2"/>
      <c r="F15" s="23"/>
      <c r="G15" s="2"/>
      <c r="H15" s="2"/>
      <c r="I15" s="2"/>
      <c r="J15" s="23"/>
      <c r="K15" s="2"/>
      <c r="L15" s="2">
        <f t="shared" si="0"/>
        <v>625.79999999999995</v>
      </c>
      <c r="M15" s="2"/>
      <c r="N15" s="23">
        <f t="shared" si="1"/>
        <v>0</v>
      </c>
      <c r="O15" s="11"/>
      <c r="P15" s="2">
        <f>--625.8</f>
        <v>625.79999999999995</v>
      </c>
      <c r="Q15" s="2"/>
      <c r="R15" s="23"/>
      <c r="S15" s="2"/>
      <c r="T15" s="2"/>
      <c r="U15" s="2"/>
      <c r="V15" s="23"/>
      <c r="W15" s="2"/>
      <c r="X15" s="2">
        <f t="shared" si="2"/>
        <v>625.79999999999995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--110</f>
        <v>110</v>
      </c>
      <c r="E16" s="2"/>
      <c r="F16" s="23"/>
      <c r="G16" s="2"/>
      <c r="H16" s="2"/>
      <c r="I16" s="2"/>
      <c r="J16" s="23"/>
      <c r="K16" s="2"/>
      <c r="L16" s="2">
        <f t="shared" si="0"/>
        <v>110</v>
      </c>
      <c r="M16" s="2"/>
      <c r="N16" s="23">
        <f t="shared" si="1"/>
        <v>0</v>
      </c>
      <c r="O16" s="11"/>
      <c r="P16" s="2">
        <f>--110</f>
        <v>110</v>
      </c>
      <c r="Q16" s="2"/>
      <c r="R16" s="23"/>
      <c r="S16" s="2"/>
      <c r="T16" s="2"/>
      <c r="U16" s="2"/>
      <c r="V16" s="23"/>
      <c r="W16" s="2"/>
      <c r="X16" s="2">
        <f t="shared" si="2"/>
        <v>110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-2042.7699999999998</v>
      </c>
      <c r="E18" s="4"/>
      <c r="F18" s="12">
        <f t="shared" ref="F18:F21" si="4">IF(D$12=0,0,D18/D$12)</f>
        <v>-2.4790898058252426</v>
      </c>
      <c r="G18" s="4"/>
      <c r="H18" s="4">
        <f>SUM(OSRRefH16x_0)</f>
        <v>2324</v>
      </c>
      <c r="I18" s="4"/>
      <c r="J18" s="12">
        <f t="shared" ref="J18:J21" si="5">IF(H$12=0,0,H18/H$12)</f>
        <v>0.48926315789473684</v>
      </c>
      <c r="K18" s="4"/>
      <c r="L18" s="4">
        <f t="shared" ref="L18:L21" si="6">+D18-H18</f>
        <v>-4366.7699999999995</v>
      </c>
      <c r="M18" s="4"/>
      <c r="N18" s="12">
        <f t="shared" ref="N18:N21" si="7">IF(H18=0,0,L18/H18)</f>
        <v>-1.8789888123924265</v>
      </c>
      <c r="O18" s="10"/>
      <c r="P18" s="4">
        <f>SUM(OSRRefP16x_0)</f>
        <v>-2269.6400000000003</v>
      </c>
      <c r="Q18" s="4"/>
      <c r="R18" s="12">
        <f t="shared" ref="R18:R21" si="8">IF(P$12=0,0,P18/P$12)</f>
        <v>-2.7544174757281557</v>
      </c>
      <c r="S18" s="4"/>
      <c r="T18" s="4">
        <f>SUM(OSRRefT16x_0)</f>
        <v>2349</v>
      </c>
      <c r="U18" s="4"/>
      <c r="V18" s="12">
        <f t="shared" ref="V18:V21" si="9">IF(T$12=0,0,T18/T$12)</f>
        <v>0.489375</v>
      </c>
      <c r="W18" s="4"/>
      <c r="X18" s="4">
        <f t="shared" ref="X18:X21" si="10">+P18-T18</f>
        <v>-4618.6400000000003</v>
      </c>
      <c r="Y18" s="4"/>
      <c r="Z18" s="12">
        <f t="shared" ref="Z18:Z21" si="11">IF(T18=0,0,X18/T18)</f>
        <v>-1.966215410813112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2324</v>
      </c>
      <c r="I19" s="2"/>
      <c r="J19" s="23">
        <f t="shared" si="5"/>
        <v>0.48926315789473684</v>
      </c>
      <c r="K19" s="2"/>
      <c r="L19" s="2">
        <f t="shared" si="6"/>
        <v>-2324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2349</v>
      </c>
      <c r="U19" s="2"/>
      <c r="V19" s="23">
        <f t="shared" si="9"/>
        <v>0.489375</v>
      </c>
      <c r="W19" s="2"/>
      <c r="X19" s="2">
        <f t="shared" si="10"/>
        <v>-2349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-2111.6799999999998</v>
      </c>
      <c r="E20" s="2"/>
      <c r="F20" s="23">
        <f t="shared" si="4"/>
        <v>-2.5627184466019415</v>
      </c>
      <c r="G20" s="2"/>
      <c r="H20" s="2"/>
      <c r="I20" s="2"/>
      <c r="J20" s="23">
        <f t="shared" si="5"/>
        <v>0</v>
      </c>
      <c r="K20" s="2"/>
      <c r="L20" s="2">
        <f t="shared" si="6"/>
        <v>-2111.6799999999998</v>
      </c>
      <c r="M20" s="2"/>
      <c r="N20" s="23">
        <f t="shared" si="7"/>
        <v>0</v>
      </c>
      <c r="O20" s="11"/>
      <c r="P20" s="2">
        <v>-2338.5500000000002</v>
      </c>
      <c r="Q20" s="2"/>
      <c r="R20" s="23">
        <f t="shared" si="8"/>
        <v>-2.8380461165048545</v>
      </c>
      <c r="S20" s="2"/>
      <c r="T20" s="2"/>
      <c r="U20" s="2"/>
      <c r="V20" s="23">
        <f t="shared" si="9"/>
        <v>0</v>
      </c>
      <c r="W20" s="2"/>
      <c r="X20" s="2">
        <f t="shared" si="10"/>
        <v>-2338.5500000000002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68.91</v>
      </c>
      <c r="E21" s="2"/>
      <c r="F21" s="23">
        <f t="shared" si="4"/>
        <v>8.3628640776699029E-2</v>
      </c>
      <c r="G21" s="2"/>
      <c r="H21" s="2"/>
      <c r="I21" s="2"/>
      <c r="J21" s="23">
        <f t="shared" si="5"/>
        <v>0</v>
      </c>
      <c r="K21" s="2"/>
      <c r="L21" s="2">
        <f t="shared" si="6"/>
        <v>68.91</v>
      </c>
      <c r="M21" s="2"/>
      <c r="N21" s="23">
        <f t="shared" si="7"/>
        <v>0</v>
      </c>
      <c r="O21" s="11"/>
      <c r="P21" s="2">
        <v>68.91</v>
      </c>
      <c r="Q21" s="2"/>
      <c r="R21" s="23">
        <f t="shared" si="8"/>
        <v>8.3628640776699029E-2</v>
      </c>
      <c r="S21" s="2"/>
      <c r="T21" s="2"/>
      <c r="U21" s="2"/>
      <c r="V21" s="23">
        <f t="shared" si="9"/>
        <v>0</v>
      </c>
      <c r="W21" s="2"/>
      <c r="X21" s="2">
        <f t="shared" si="10"/>
        <v>68.91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2866.7699999999995</v>
      </c>
      <c r="E23" s="13"/>
      <c r="F23" s="20">
        <f>IF(D$12=0,0,D23/D$12)</f>
        <v>3.4790898058252422</v>
      </c>
      <c r="G23" s="13"/>
      <c r="H23" s="21">
        <f>H12-H18</f>
        <v>2426</v>
      </c>
      <c r="I23" s="13"/>
      <c r="J23" s="20">
        <f>IF(H$12=0,0,H23/H$12)</f>
        <v>0.51073684210526316</v>
      </c>
      <c r="K23" s="16"/>
      <c r="L23" s="21">
        <f>+D23-H23</f>
        <v>440.76999999999953</v>
      </c>
      <c r="M23" s="16"/>
      <c r="N23" s="20">
        <f>IF(H23=0,0,L23/H23)</f>
        <v>0.18168590272052743</v>
      </c>
      <c r="O23" s="25"/>
      <c r="P23" s="21">
        <f>P12-P18</f>
        <v>3093.6400000000003</v>
      </c>
      <c r="Q23" s="13"/>
      <c r="R23" s="20">
        <f>IF(P$12=0,0,P23/P$12)</f>
        <v>3.7544174757281557</v>
      </c>
      <c r="S23" s="13"/>
      <c r="T23" s="21">
        <f>T12-T18</f>
        <v>2451</v>
      </c>
      <c r="U23" s="13"/>
      <c r="V23" s="20">
        <f>IF(T$12=0,0,T23/T$12)</f>
        <v>0.510625</v>
      </c>
      <c r="W23" s="16"/>
      <c r="X23" s="21">
        <f>+P23-T23</f>
        <v>642.64000000000033</v>
      </c>
      <c r="Y23" s="16"/>
      <c r="Z23" s="20">
        <f>IF(T23=0,0,X23/T23)</f>
        <v>0.26219502243982062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29978.66</v>
      </c>
      <c r="E25" s="19"/>
      <c r="F25" s="30">
        <f t="shared" ref="F25:F35" si="12">IF(D$12=0,0,D25/D$12)</f>
        <v>36.381868932038834</v>
      </c>
      <c r="G25" s="19"/>
      <c r="H25" s="19">
        <f>SUM(OSRRefH22x_0)</f>
        <v>44251.650782099998</v>
      </c>
      <c r="I25" s="19"/>
      <c r="J25" s="30">
        <f t="shared" ref="J25:J35" si="13">IF(H$12=0,0,H25/H$12)</f>
        <v>9.316137006757895</v>
      </c>
      <c r="K25" s="4"/>
      <c r="L25" s="19">
        <f t="shared" ref="L25:L35" si="14">+D25-H25</f>
        <v>-14272.990782099998</v>
      </c>
      <c r="M25" s="4"/>
      <c r="N25" s="30">
        <f t="shared" ref="N25:N35" si="15">IF(H25=0,0,L25/H25)</f>
        <v>-0.32254143133285074</v>
      </c>
      <c r="O25" s="10"/>
      <c r="P25" s="19">
        <f>SUM(OSRRefP22x_0)</f>
        <v>65253.740000000005</v>
      </c>
      <c r="Q25" s="19"/>
      <c r="R25" s="30">
        <f t="shared" ref="R25:R35" si="16">IF(P$12=0,0,P25/P$12)</f>
        <v>79.191432038834961</v>
      </c>
      <c r="S25" s="19"/>
      <c r="T25" s="19">
        <f>SUM(OSRRefT22x_0)</f>
        <v>82269.632507100003</v>
      </c>
      <c r="U25" s="19"/>
      <c r="V25" s="30">
        <f t="shared" ref="V25:V35" si="17">IF(T$12=0,0,T25/T$12)</f>
        <v>17.139506772312501</v>
      </c>
      <c r="W25" s="4"/>
      <c r="X25" s="19">
        <f t="shared" ref="X25:X35" si="18">+P25-T25</f>
        <v>-17015.892507099998</v>
      </c>
      <c r="Y25" s="4"/>
      <c r="Z25" s="30">
        <f t="shared" ref="Z25:Z35" si="19">IF(T25=0,0,X25/T25)</f>
        <v>-0.2068307829821836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5943.08</v>
      </c>
      <c r="E26" s="1"/>
      <c r="F26" s="5">
        <f t="shared" si="12"/>
        <v>7.21247572815534</v>
      </c>
      <c r="G26" s="1"/>
      <c r="H26" s="1">
        <f>SUM(OSRRefH22_0x_0)</f>
        <v>7289.8367820999993</v>
      </c>
      <c r="I26" s="1"/>
      <c r="J26" s="5">
        <f t="shared" si="13"/>
        <v>1.534702480442105</v>
      </c>
      <c r="K26" s="1"/>
      <c r="L26" s="1">
        <f t="shared" si="14"/>
        <v>-1346.7567820999993</v>
      </c>
      <c r="M26" s="1"/>
      <c r="N26" s="5">
        <f t="shared" si="15"/>
        <v>-0.18474443562398063</v>
      </c>
      <c r="O26" s="14"/>
      <c r="P26" s="1">
        <f>SUM(OSRRefP22_0x_0)</f>
        <v>14938.28</v>
      </c>
      <c r="Q26" s="1"/>
      <c r="R26" s="5">
        <f t="shared" si="16"/>
        <v>18.128980582524271</v>
      </c>
      <c r="S26" s="1"/>
      <c r="T26" s="1">
        <f>SUM(OSRRefT22_0x_0)</f>
        <v>14525.193507099999</v>
      </c>
      <c r="U26" s="1"/>
      <c r="V26" s="5">
        <f t="shared" si="17"/>
        <v>3.026081980645833</v>
      </c>
      <c r="W26" s="1"/>
      <c r="X26" s="1">
        <f t="shared" si="18"/>
        <v>413.08649290000176</v>
      </c>
      <c r="Y26" s="1"/>
      <c r="Z26" s="5">
        <f t="shared" si="19"/>
        <v>2.8439310822130023E-2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675.92</v>
      </c>
      <c r="E27" s="2"/>
      <c r="F27" s="7">
        <f t="shared" si="12"/>
        <v>0.82029126213592229</v>
      </c>
      <c r="G27" s="2"/>
      <c r="H27" s="6">
        <v>1040.0939751000001</v>
      </c>
      <c r="I27" s="2"/>
      <c r="J27" s="7">
        <f t="shared" si="13"/>
        <v>0.21896715265263159</v>
      </c>
      <c r="K27" s="2"/>
      <c r="L27" s="6">
        <f t="shared" si="14"/>
        <v>-364.17397510000012</v>
      </c>
      <c r="M27" s="2"/>
      <c r="N27" s="7">
        <f t="shared" si="15"/>
        <v>-0.35013564525742641</v>
      </c>
      <c r="O27" s="11"/>
      <c r="P27" s="6">
        <v>1537.1</v>
      </c>
      <c r="Q27" s="2"/>
      <c r="R27" s="7">
        <f t="shared" si="16"/>
        <v>1.8654126213592233</v>
      </c>
      <c r="S27" s="2"/>
      <c r="T27" s="6">
        <v>1970.5074500999999</v>
      </c>
      <c r="U27" s="2"/>
      <c r="V27" s="7">
        <f t="shared" si="17"/>
        <v>0.41052238543749997</v>
      </c>
      <c r="W27" s="2"/>
      <c r="X27" s="6">
        <f t="shared" si="18"/>
        <v>-433.40745010000001</v>
      </c>
      <c r="Y27" s="2"/>
      <c r="Z27" s="7">
        <f t="shared" si="19"/>
        <v>-0.2199471258421303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163.46</v>
      </c>
      <c r="E28" s="2"/>
      <c r="F28" s="7">
        <f t="shared" si="12"/>
        <v>0.19837378640776701</v>
      </c>
      <c r="G28" s="2"/>
      <c r="H28" s="6">
        <v>349.45334500000001</v>
      </c>
      <c r="I28" s="2"/>
      <c r="J28" s="7">
        <f t="shared" si="13"/>
        <v>7.3569125263157897E-2</v>
      </c>
      <c r="K28" s="2"/>
      <c r="L28" s="6">
        <f t="shared" si="14"/>
        <v>-185.99334500000001</v>
      </c>
      <c r="M28" s="2"/>
      <c r="N28" s="7">
        <f t="shared" si="15"/>
        <v>-0.53224084891790058</v>
      </c>
      <c r="O28" s="11"/>
      <c r="P28" s="6">
        <v>333.24</v>
      </c>
      <c r="Q28" s="2"/>
      <c r="R28" s="7">
        <f t="shared" si="16"/>
        <v>0.40441747572815534</v>
      </c>
      <c r="S28" s="2"/>
      <c r="T28" s="6">
        <v>574.36709499999995</v>
      </c>
      <c r="U28" s="2"/>
      <c r="V28" s="7">
        <f t="shared" si="17"/>
        <v>0.11965981145833332</v>
      </c>
      <c r="W28" s="2"/>
      <c r="X28" s="6">
        <f t="shared" si="18"/>
        <v>-241.12709499999994</v>
      </c>
      <c r="Y28" s="2"/>
      <c r="Z28" s="7">
        <f t="shared" si="19"/>
        <v>-0.4198135601761796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2704.94</v>
      </c>
      <c r="E29" s="2"/>
      <c r="F29" s="7">
        <f t="shared" si="12"/>
        <v>3.2826941747572818</v>
      </c>
      <c r="G29" s="2"/>
      <c r="H29" s="6">
        <v>3960</v>
      </c>
      <c r="I29" s="2"/>
      <c r="J29" s="7">
        <f t="shared" si="13"/>
        <v>0.83368421052631581</v>
      </c>
      <c r="K29" s="2"/>
      <c r="L29" s="6">
        <f t="shared" si="14"/>
        <v>-1255.06</v>
      </c>
      <c r="M29" s="2"/>
      <c r="N29" s="7">
        <f t="shared" si="15"/>
        <v>-0.3169343434343434</v>
      </c>
      <c r="O29" s="11"/>
      <c r="P29" s="6">
        <v>7325.51</v>
      </c>
      <c r="Q29" s="2"/>
      <c r="R29" s="7">
        <f t="shared" si="16"/>
        <v>8.8901820388349524</v>
      </c>
      <c r="S29" s="2"/>
      <c r="T29" s="6">
        <v>7920</v>
      </c>
      <c r="U29" s="2"/>
      <c r="V29" s="7">
        <f t="shared" si="17"/>
        <v>1.65</v>
      </c>
      <c r="W29" s="2"/>
      <c r="X29" s="6">
        <f t="shared" si="18"/>
        <v>-594.48999999999978</v>
      </c>
      <c r="Y29" s="2"/>
      <c r="Z29" s="7">
        <f t="shared" si="19"/>
        <v>-7.5061868686868663E-2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22.98</v>
      </c>
      <c r="E30" s="2"/>
      <c r="F30" s="7">
        <f t="shared" si="12"/>
        <v>2.7888349514563107E-2</v>
      </c>
      <c r="G30" s="2"/>
      <c r="H30" s="6">
        <v>49.112361999999997</v>
      </c>
      <c r="I30" s="2"/>
      <c r="J30" s="7">
        <f t="shared" si="13"/>
        <v>1.0339444631578947E-2</v>
      </c>
      <c r="K30" s="2"/>
      <c r="L30" s="6">
        <f t="shared" si="14"/>
        <v>-26.132361999999997</v>
      </c>
      <c r="M30" s="2"/>
      <c r="N30" s="7">
        <f t="shared" si="15"/>
        <v>-0.53209336582101263</v>
      </c>
      <c r="O30" s="11"/>
      <c r="P30" s="6">
        <v>46.84</v>
      </c>
      <c r="Q30" s="2"/>
      <c r="R30" s="7">
        <f t="shared" si="16"/>
        <v>5.6844660194174765E-2</v>
      </c>
      <c r="S30" s="2"/>
      <c r="T30" s="6">
        <v>80.721862000000002</v>
      </c>
      <c r="U30" s="2"/>
      <c r="V30" s="7">
        <f t="shared" si="17"/>
        <v>1.6817054583333334E-2</v>
      </c>
      <c r="W30" s="2"/>
      <c r="X30" s="6">
        <f t="shared" si="18"/>
        <v>-33.881861999999998</v>
      </c>
      <c r="Y30" s="2"/>
      <c r="Z30" s="7">
        <f t="shared" si="19"/>
        <v>-0.41973588270300305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935.63</v>
      </c>
      <c r="E31" s="2"/>
      <c r="F31" s="7">
        <f t="shared" si="12"/>
        <v>1.1354733009708737</v>
      </c>
      <c r="G31" s="2"/>
      <c r="H31" s="6">
        <v>836.43600000000004</v>
      </c>
      <c r="I31" s="2"/>
      <c r="J31" s="7">
        <f t="shared" si="13"/>
        <v>0.17609178947368423</v>
      </c>
      <c r="K31" s="2"/>
      <c r="L31" s="6">
        <f t="shared" si="14"/>
        <v>99.19399999999996</v>
      </c>
      <c r="M31" s="2"/>
      <c r="N31" s="7">
        <f t="shared" si="15"/>
        <v>0.11859126101698152</v>
      </c>
      <c r="O31" s="11"/>
      <c r="P31" s="6">
        <v>2797.96</v>
      </c>
      <c r="Q31" s="2"/>
      <c r="R31" s="7">
        <f t="shared" si="16"/>
        <v>3.3955825242718447</v>
      </c>
      <c r="S31" s="2"/>
      <c r="T31" s="6">
        <v>1881.981</v>
      </c>
      <c r="U31" s="2"/>
      <c r="V31" s="7">
        <f t="shared" si="17"/>
        <v>0.39207937500000001</v>
      </c>
      <c r="W31" s="2"/>
      <c r="X31" s="6">
        <f t="shared" si="18"/>
        <v>915.97900000000004</v>
      </c>
      <c r="Y31" s="2"/>
      <c r="Z31" s="7">
        <f t="shared" si="19"/>
        <v>0.48671001460694879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646.78</v>
      </c>
      <c r="E33" s="2"/>
      <c r="F33" s="7">
        <f t="shared" si="12"/>
        <v>0.78492718446601939</v>
      </c>
      <c r="G33" s="2"/>
      <c r="H33" s="6">
        <v>374.98</v>
      </c>
      <c r="I33" s="2"/>
      <c r="J33" s="7">
        <f t="shared" si="13"/>
        <v>7.894315789473684E-2</v>
      </c>
      <c r="K33" s="2"/>
      <c r="L33" s="6">
        <f t="shared" si="14"/>
        <v>271.79999999999995</v>
      </c>
      <c r="M33" s="2"/>
      <c r="N33" s="7">
        <f t="shared" si="15"/>
        <v>0.72483865806176317</v>
      </c>
      <c r="O33" s="11"/>
      <c r="P33" s="6">
        <v>1445.66</v>
      </c>
      <c r="Q33" s="2"/>
      <c r="R33" s="7">
        <f t="shared" si="16"/>
        <v>1.7544417475728156</v>
      </c>
      <c r="S33" s="2"/>
      <c r="T33" s="6">
        <v>843.70500000000004</v>
      </c>
      <c r="U33" s="2"/>
      <c r="V33" s="7">
        <f t="shared" si="17"/>
        <v>0.17577187500000002</v>
      </c>
      <c r="W33" s="2"/>
      <c r="X33" s="6">
        <f t="shared" si="18"/>
        <v>601.95500000000004</v>
      </c>
      <c r="Y33" s="2"/>
      <c r="Z33" s="7">
        <f t="shared" si="19"/>
        <v>0.71346619967879765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448.64</v>
      </c>
      <c r="E34" s="2"/>
      <c r="F34" s="7">
        <f t="shared" si="12"/>
        <v>0.54446601941747574</v>
      </c>
      <c r="G34" s="2"/>
      <c r="H34" s="6">
        <v>504.7611</v>
      </c>
      <c r="I34" s="2"/>
      <c r="J34" s="7">
        <f t="shared" si="13"/>
        <v>0.1062654947368421</v>
      </c>
      <c r="K34" s="2"/>
      <c r="L34" s="6">
        <f t="shared" si="14"/>
        <v>-56.121100000000013</v>
      </c>
      <c r="M34" s="2"/>
      <c r="N34" s="7">
        <f t="shared" si="15"/>
        <v>-0.11118348858499598</v>
      </c>
      <c r="O34" s="11"/>
      <c r="P34" s="6">
        <v>1101.26</v>
      </c>
      <c r="Q34" s="2"/>
      <c r="R34" s="7">
        <f t="shared" si="16"/>
        <v>1.3364805825242718</v>
      </c>
      <c r="S34" s="2"/>
      <c r="T34" s="6">
        <v>903.91110000000003</v>
      </c>
      <c r="U34" s="2"/>
      <c r="V34" s="7">
        <f t="shared" si="17"/>
        <v>0.18831481250000001</v>
      </c>
      <c r="W34" s="2"/>
      <c r="X34" s="6">
        <f t="shared" si="18"/>
        <v>197.34889999999996</v>
      </c>
      <c r="Y34" s="2"/>
      <c r="Z34" s="7">
        <f t="shared" si="19"/>
        <v>0.21832777581777671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344.73</v>
      </c>
      <c r="E35" s="2"/>
      <c r="F35" s="7">
        <f t="shared" si="12"/>
        <v>0.41836165048543694</v>
      </c>
      <c r="G35" s="2"/>
      <c r="H35" s="6">
        <v>175</v>
      </c>
      <c r="I35" s="2"/>
      <c r="J35" s="7">
        <f t="shared" si="13"/>
        <v>3.6842105263157891E-2</v>
      </c>
      <c r="K35" s="2"/>
      <c r="L35" s="6">
        <f t="shared" si="14"/>
        <v>169.73000000000002</v>
      </c>
      <c r="M35" s="2"/>
      <c r="N35" s="7">
        <f t="shared" si="15"/>
        <v>0.96988571428571435</v>
      </c>
      <c r="O35" s="11"/>
      <c r="P35" s="6">
        <v>350.71</v>
      </c>
      <c r="Q35" s="2"/>
      <c r="R35" s="7">
        <f t="shared" si="16"/>
        <v>0.42561893203883494</v>
      </c>
      <c r="S35" s="2"/>
      <c r="T35" s="6">
        <v>350</v>
      </c>
      <c r="U35" s="2"/>
      <c r="V35" s="7">
        <f t="shared" si="17"/>
        <v>7.2916666666666671E-2</v>
      </c>
      <c r="W35" s="2"/>
      <c r="X35" s="6">
        <f t="shared" si="18"/>
        <v>0.70999999999997954</v>
      </c>
      <c r="Y35" s="2"/>
      <c r="Z35" s="7">
        <f t="shared" si="19"/>
        <v>2.0285714285713701E-3</v>
      </c>
    </row>
    <row r="36" spans="1:26" s="29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10173.66</v>
      </c>
      <c r="E36" s="1"/>
      <c r="F36" s="5">
        <f t="shared" ref="F36:F46" si="20">IF(D$12=0,0,D36/D$12)</f>
        <v>12.346674757281553</v>
      </c>
      <c r="G36" s="1"/>
      <c r="H36" s="1">
        <f>SUM(OSRRefH22_1x_0)</f>
        <v>18120.814000000002</v>
      </c>
      <c r="I36" s="1"/>
      <c r="J36" s="5">
        <f t="shared" ref="J36:J46" si="21">IF(H$12=0,0,H36/H$12)</f>
        <v>3.8149082105263163</v>
      </c>
      <c r="K36" s="1"/>
      <c r="L36" s="1">
        <f t="shared" ref="L36:L46" si="22">+D36-H36</f>
        <v>-7947.1540000000023</v>
      </c>
      <c r="M36" s="1"/>
      <c r="N36" s="5">
        <f t="shared" ref="N36:N46" si="23">IF(H36=0,0,L36/H36)</f>
        <v>-0.43856495629832087</v>
      </c>
      <c r="O36" s="14"/>
      <c r="P36" s="1">
        <f>SUM(OSRRefP22_1x_0)</f>
        <v>21650.69</v>
      </c>
      <c r="Q36" s="1"/>
      <c r="R36" s="5">
        <f t="shared" ref="R36:R46" si="24">IF(P$12=0,0,P36/P$12)</f>
        <v>26.275109223300969</v>
      </c>
      <c r="S36" s="1"/>
      <c r="T36" s="1">
        <f>SUM(OSRRefT22_1x_0)</f>
        <v>29410.438999999995</v>
      </c>
      <c r="U36" s="1"/>
      <c r="V36" s="5">
        <f t="shared" ref="V36:V46" si="25">IF(T$12=0,0,T36/T$12)</f>
        <v>6.1271747916666657</v>
      </c>
      <c r="W36" s="1"/>
      <c r="X36" s="1">
        <f t="shared" ref="X36:X46" si="26">+P36-T36</f>
        <v>-7759.7489999999962</v>
      </c>
      <c r="Y36" s="1"/>
      <c r="Z36" s="5">
        <f t="shared" ref="Z36:Z46" si="27">IF(T36=0,0,X36/T36)</f>
        <v>-0.26384335847553986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5287.7</v>
      </c>
      <c r="I37" s="2"/>
      <c r="J37" s="7">
        <f t="shared" si="21"/>
        <v>1.1132</v>
      </c>
      <c r="K37" s="2"/>
      <c r="L37" s="6">
        <f t="shared" si="22"/>
        <v>-5287.7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11897.324999999999</v>
      </c>
      <c r="U37" s="2"/>
      <c r="V37" s="7">
        <f t="shared" si="25"/>
        <v>2.4786093749999996</v>
      </c>
      <c r="W37" s="2"/>
      <c r="X37" s="6">
        <f t="shared" si="26"/>
        <v>-11897.324999999999</v>
      </c>
      <c r="Y37" s="2"/>
      <c r="Z37" s="7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9518.66</v>
      </c>
      <c r="E38" s="2"/>
      <c r="F38" s="7">
        <f t="shared" si="20"/>
        <v>11.551771844660195</v>
      </c>
      <c r="G38" s="2"/>
      <c r="H38" s="6">
        <v>3744</v>
      </c>
      <c r="I38" s="2"/>
      <c r="J38" s="7">
        <f t="shared" si="21"/>
        <v>0.78821052631578947</v>
      </c>
      <c r="K38" s="2"/>
      <c r="L38" s="6">
        <f t="shared" si="22"/>
        <v>5774.66</v>
      </c>
      <c r="M38" s="2"/>
      <c r="N38" s="7">
        <f t="shared" si="23"/>
        <v>1.5423771367521366</v>
      </c>
      <c r="O38" s="11"/>
      <c r="P38" s="6">
        <v>20995.69</v>
      </c>
      <c r="Q38" s="2"/>
      <c r="R38" s="7">
        <f t="shared" si="24"/>
        <v>25.480206310679609</v>
      </c>
      <c r="S38" s="2"/>
      <c r="T38" s="6">
        <v>8424</v>
      </c>
      <c r="U38" s="2"/>
      <c r="V38" s="7">
        <f t="shared" si="25"/>
        <v>1.7549999999999999</v>
      </c>
      <c r="W38" s="2"/>
      <c r="X38" s="6">
        <f t="shared" si="26"/>
        <v>12571.689999999999</v>
      </c>
      <c r="Y38" s="2"/>
      <c r="Z38" s="7">
        <f t="shared" si="27"/>
        <v>1.4923658594491926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3084.67</v>
      </c>
      <c r="I40" s="2"/>
      <c r="J40" s="7">
        <f t="shared" si="21"/>
        <v>0.64940421052631581</v>
      </c>
      <c r="K40" s="2"/>
      <c r="L40" s="6">
        <f t="shared" si="22"/>
        <v>-3084.67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3084.67</v>
      </c>
      <c r="U40" s="2"/>
      <c r="V40" s="7">
        <f t="shared" si="25"/>
        <v>0.64263958333333338</v>
      </c>
      <c r="W40" s="2"/>
      <c r="X40" s="6">
        <f t="shared" si="26"/>
        <v>-3084.67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2724.5239999999999</v>
      </c>
      <c r="I41" s="2"/>
      <c r="J41" s="7">
        <f t="shared" si="21"/>
        <v>0.57358399999999998</v>
      </c>
      <c r="K41" s="2"/>
      <c r="L41" s="6">
        <f t="shared" si="22"/>
        <v>-2724.5239999999999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2724.5239999999999</v>
      </c>
      <c r="U41" s="2"/>
      <c r="V41" s="7">
        <f t="shared" si="25"/>
        <v>0.56760916666666661</v>
      </c>
      <c r="W41" s="2"/>
      <c r="X41" s="6">
        <f t="shared" si="26"/>
        <v>-2724.5239999999999</v>
      </c>
      <c r="Y41" s="2"/>
      <c r="Z41" s="7">
        <f t="shared" si="27"/>
        <v>-1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655</v>
      </c>
      <c r="E43" s="2"/>
      <c r="F43" s="7">
        <f t="shared" si="20"/>
        <v>0.79490291262135926</v>
      </c>
      <c r="G43" s="2"/>
      <c r="H43" s="6">
        <v>756.6</v>
      </c>
      <c r="I43" s="2"/>
      <c r="J43" s="7">
        <f t="shared" si="21"/>
        <v>0.15928421052631581</v>
      </c>
      <c r="K43" s="2"/>
      <c r="L43" s="6">
        <f t="shared" si="22"/>
        <v>-101.60000000000002</v>
      </c>
      <c r="M43" s="2"/>
      <c r="N43" s="7">
        <f t="shared" si="23"/>
        <v>-0.13428495902722709</v>
      </c>
      <c r="O43" s="11"/>
      <c r="P43" s="6">
        <v>655</v>
      </c>
      <c r="Q43" s="2"/>
      <c r="R43" s="7">
        <f t="shared" si="24"/>
        <v>0.79490291262135926</v>
      </c>
      <c r="S43" s="2"/>
      <c r="T43" s="6">
        <v>756.6</v>
      </c>
      <c r="U43" s="2"/>
      <c r="V43" s="7">
        <f t="shared" si="25"/>
        <v>0.15762500000000002</v>
      </c>
      <c r="W43" s="2"/>
      <c r="X43" s="6">
        <f t="shared" si="26"/>
        <v>-101.60000000000002</v>
      </c>
      <c r="Y43" s="2"/>
      <c r="Z43" s="7">
        <f t="shared" si="27"/>
        <v>-0.13428495902722709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2523.3200000000002</v>
      </c>
      <c r="I44" s="2"/>
      <c r="J44" s="7">
        <f t="shared" si="21"/>
        <v>0.53122526315789476</v>
      </c>
      <c r="K44" s="2"/>
      <c r="L44" s="6">
        <f t="shared" si="22"/>
        <v>-2523.3200000000002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2523.3200000000002</v>
      </c>
      <c r="U44" s="2"/>
      <c r="V44" s="7">
        <f t="shared" si="25"/>
        <v>0.52569166666666667</v>
      </c>
      <c r="W44" s="2"/>
      <c r="X44" s="6">
        <f t="shared" si="26"/>
        <v>-2523.3200000000002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280</v>
      </c>
      <c r="I47" s="1"/>
      <c r="J47" s="5">
        <f t="shared" ref="J47:J55" si="29">IF(H$12=0,0,H47/H$12)</f>
        <v>5.894736842105263E-2</v>
      </c>
      <c r="K47" s="1"/>
      <c r="L47" s="1">
        <f t="shared" ref="L47:L55" si="30">+D47-H47</f>
        <v>-280</v>
      </c>
      <c r="M47" s="1"/>
      <c r="N47" s="5">
        <f t="shared" ref="N47:N55" si="31">IF(H47=0,0,L47/H47)</f>
        <v>-1</v>
      </c>
      <c r="O47" s="14"/>
      <c r="P47" s="1">
        <f>SUM(OSRRefP22_2x_0)</f>
        <v>0</v>
      </c>
      <c r="Q47" s="1"/>
      <c r="R47" s="5">
        <f t="shared" ref="R47:R55" si="32">IF(P$12=0,0,P47/P$12)</f>
        <v>0</v>
      </c>
      <c r="S47" s="1"/>
      <c r="T47" s="1">
        <f>SUM(OSRRefT22_2x_0)</f>
        <v>380</v>
      </c>
      <c r="U47" s="1"/>
      <c r="V47" s="5">
        <f t="shared" ref="V47:V55" si="33">IF(T$12=0,0,T47/T$12)</f>
        <v>7.9166666666666663E-2</v>
      </c>
      <c r="W47" s="1"/>
      <c r="X47" s="1">
        <f t="shared" ref="X47:X55" si="34">+P47-T47</f>
        <v>-380</v>
      </c>
      <c r="Y47" s="1"/>
      <c r="Z47" s="5">
        <f t="shared" ref="Z47:Z55" si="35">IF(T47=0,0,X47/T47)</f>
        <v>-1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280</v>
      </c>
      <c r="I48" s="2"/>
      <c r="J48" s="7">
        <f t="shared" si="29"/>
        <v>5.894736842105263E-2</v>
      </c>
      <c r="K48" s="2"/>
      <c r="L48" s="6">
        <f t="shared" si="30"/>
        <v>-280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380</v>
      </c>
      <c r="U48" s="2"/>
      <c r="V48" s="7">
        <f t="shared" si="33"/>
        <v>7.9166666666666663E-2</v>
      </c>
      <c r="W48" s="2"/>
      <c r="X48" s="6">
        <f t="shared" si="34"/>
        <v>-380</v>
      </c>
      <c r="Y48" s="2"/>
      <c r="Z48" s="7">
        <f t="shared" si="35"/>
        <v>-1</v>
      </c>
    </row>
    <row r="49" spans="1:26" s="29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3.75</v>
      </c>
      <c r="E49" s="1"/>
      <c r="F49" s="5">
        <f t="shared" si="28"/>
        <v>4.5509708737864075E-3</v>
      </c>
      <c r="G49" s="1"/>
      <c r="H49" s="1">
        <f>SUM(OSRRefH22_3x_0)</f>
        <v>10</v>
      </c>
      <c r="I49" s="1"/>
      <c r="J49" s="5">
        <f t="shared" si="29"/>
        <v>2.1052631578947368E-3</v>
      </c>
      <c r="K49" s="1"/>
      <c r="L49" s="1">
        <f t="shared" si="30"/>
        <v>-6.25</v>
      </c>
      <c r="M49" s="1"/>
      <c r="N49" s="5">
        <f t="shared" si="31"/>
        <v>-0.625</v>
      </c>
      <c r="O49" s="14"/>
      <c r="P49" s="1">
        <f>SUM(OSRRefP22_3x_0)</f>
        <v>3.75</v>
      </c>
      <c r="Q49" s="1"/>
      <c r="R49" s="5">
        <f t="shared" si="32"/>
        <v>4.5509708737864075E-3</v>
      </c>
      <c r="S49" s="1"/>
      <c r="T49" s="1">
        <f>SUM(OSRRefT22_3x_0)</f>
        <v>15</v>
      </c>
      <c r="U49" s="1"/>
      <c r="V49" s="5">
        <f t="shared" si="33"/>
        <v>3.1250000000000002E-3</v>
      </c>
      <c r="W49" s="1"/>
      <c r="X49" s="1">
        <f t="shared" si="34"/>
        <v>-11.25</v>
      </c>
      <c r="Y49" s="1"/>
      <c r="Z49" s="5">
        <f t="shared" si="35"/>
        <v>-0.75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3.75</v>
      </c>
      <c r="E50" s="2"/>
      <c r="F50" s="7">
        <f t="shared" si="28"/>
        <v>4.5509708737864075E-3</v>
      </c>
      <c r="G50" s="2"/>
      <c r="H50" s="6">
        <v>10</v>
      </c>
      <c r="I50" s="2"/>
      <c r="J50" s="7">
        <f t="shared" si="29"/>
        <v>2.1052631578947368E-3</v>
      </c>
      <c r="K50" s="2"/>
      <c r="L50" s="6">
        <f t="shared" si="30"/>
        <v>-6.25</v>
      </c>
      <c r="M50" s="2"/>
      <c r="N50" s="7">
        <f t="shared" si="31"/>
        <v>-0.625</v>
      </c>
      <c r="O50" s="11"/>
      <c r="P50" s="6">
        <v>3.75</v>
      </c>
      <c r="Q50" s="2"/>
      <c r="R50" s="7">
        <f t="shared" si="32"/>
        <v>4.5509708737864075E-3</v>
      </c>
      <c r="S50" s="2"/>
      <c r="T50" s="6">
        <v>15</v>
      </c>
      <c r="U50" s="2"/>
      <c r="V50" s="7">
        <f t="shared" si="33"/>
        <v>3.1250000000000002E-3</v>
      </c>
      <c r="W50" s="2"/>
      <c r="X50" s="6">
        <f t="shared" si="34"/>
        <v>-11.25</v>
      </c>
      <c r="Y50" s="2"/>
      <c r="Z50" s="7">
        <f t="shared" si="35"/>
        <v>-0.75</v>
      </c>
    </row>
    <row r="51" spans="1:26" s="29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60</v>
      </c>
      <c r="E51" s="1"/>
      <c r="F51" s="5">
        <f t="shared" si="28"/>
        <v>7.281553398058252E-2</v>
      </c>
      <c r="G51" s="1"/>
      <c r="H51" s="1">
        <f>SUM(OSRRefH22_4x_0)</f>
        <v>1237</v>
      </c>
      <c r="I51" s="1"/>
      <c r="J51" s="5">
        <f t="shared" si="29"/>
        <v>0.26042105263157894</v>
      </c>
      <c r="K51" s="1"/>
      <c r="L51" s="1">
        <f t="shared" si="30"/>
        <v>-1177</v>
      </c>
      <c r="M51" s="1"/>
      <c r="N51" s="5">
        <f t="shared" si="31"/>
        <v>-0.95149555375909456</v>
      </c>
      <c r="O51" s="14"/>
      <c r="P51" s="1">
        <f>SUM(OSRRefP22_4x_0)</f>
        <v>120</v>
      </c>
      <c r="Q51" s="1"/>
      <c r="R51" s="5">
        <f t="shared" si="32"/>
        <v>0.14563106796116504</v>
      </c>
      <c r="S51" s="1"/>
      <c r="T51" s="1">
        <f>SUM(OSRRefT22_4x_0)</f>
        <v>1646</v>
      </c>
      <c r="U51" s="1"/>
      <c r="V51" s="5">
        <f t="shared" si="33"/>
        <v>0.34291666666666665</v>
      </c>
      <c r="W51" s="1"/>
      <c r="X51" s="1">
        <f t="shared" si="34"/>
        <v>-1526</v>
      </c>
      <c r="Y51" s="1"/>
      <c r="Z51" s="5">
        <f t="shared" si="35"/>
        <v>-0.92709599027946532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60</v>
      </c>
      <c r="E52" s="2"/>
      <c r="F52" s="7">
        <f t="shared" si="28"/>
        <v>7.281553398058252E-2</v>
      </c>
      <c r="G52" s="2"/>
      <c r="H52" s="6">
        <v>1237</v>
      </c>
      <c r="I52" s="2"/>
      <c r="J52" s="7">
        <f t="shared" si="29"/>
        <v>0.26042105263157894</v>
      </c>
      <c r="K52" s="2"/>
      <c r="L52" s="6">
        <f t="shared" si="30"/>
        <v>-1177</v>
      </c>
      <c r="M52" s="2"/>
      <c r="N52" s="7">
        <f t="shared" si="31"/>
        <v>-0.95149555375909456</v>
      </c>
      <c r="O52" s="11"/>
      <c r="P52" s="6">
        <v>120</v>
      </c>
      <c r="Q52" s="2"/>
      <c r="R52" s="7">
        <f t="shared" si="32"/>
        <v>0.14563106796116504</v>
      </c>
      <c r="S52" s="2"/>
      <c r="T52" s="6">
        <v>1646</v>
      </c>
      <c r="U52" s="2"/>
      <c r="V52" s="7">
        <f t="shared" si="33"/>
        <v>0.34291666666666665</v>
      </c>
      <c r="W52" s="2"/>
      <c r="X52" s="6">
        <f t="shared" si="34"/>
        <v>-1526</v>
      </c>
      <c r="Y52" s="2"/>
      <c r="Z52" s="7">
        <f t="shared" si="35"/>
        <v>-0.92709599027946532</v>
      </c>
    </row>
    <row r="53" spans="1:26" s="29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9271.99</v>
      </c>
      <c r="E53" s="1"/>
      <c r="F53" s="5">
        <f t="shared" si="28"/>
        <v>11.252415048543689</v>
      </c>
      <c r="G53" s="1"/>
      <c r="H53" s="1">
        <f>SUM(OSRRefH22_5x_0)</f>
        <v>8675</v>
      </c>
      <c r="I53" s="1"/>
      <c r="J53" s="5">
        <f t="shared" si="29"/>
        <v>1.8263157894736841</v>
      </c>
      <c r="K53" s="1"/>
      <c r="L53" s="1">
        <f t="shared" si="30"/>
        <v>596.98999999999978</v>
      </c>
      <c r="M53" s="1"/>
      <c r="N53" s="5">
        <f t="shared" si="31"/>
        <v>6.8817291066282399E-2</v>
      </c>
      <c r="O53" s="14"/>
      <c r="P53" s="1">
        <f>SUM(OSRRefP22_5x_0)</f>
        <v>18262.72</v>
      </c>
      <c r="Q53" s="1"/>
      <c r="R53" s="5">
        <f t="shared" si="32"/>
        <v>22.163495145631071</v>
      </c>
      <c r="S53" s="1"/>
      <c r="T53" s="1">
        <f>SUM(OSRRefT22_5x_0)</f>
        <v>17350</v>
      </c>
      <c r="U53" s="1"/>
      <c r="V53" s="5">
        <f t="shared" si="33"/>
        <v>3.6145833333333335</v>
      </c>
      <c r="W53" s="1"/>
      <c r="X53" s="1">
        <f t="shared" si="34"/>
        <v>912.72000000000116</v>
      </c>
      <c r="Y53" s="1"/>
      <c r="Z53" s="5">
        <f t="shared" si="35"/>
        <v>5.2606340057636952E-2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5080.51</v>
      </c>
      <c r="E54" s="2"/>
      <c r="F54" s="7">
        <f t="shared" si="28"/>
        <v>6.1656674757281555</v>
      </c>
      <c r="G54" s="2"/>
      <c r="H54" s="6"/>
      <c r="I54" s="2"/>
      <c r="J54" s="7">
        <f t="shared" si="29"/>
        <v>0</v>
      </c>
      <c r="K54" s="2"/>
      <c r="L54" s="6">
        <f t="shared" si="30"/>
        <v>5080.51</v>
      </c>
      <c r="M54" s="2"/>
      <c r="N54" s="7">
        <f t="shared" si="31"/>
        <v>0</v>
      </c>
      <c r="O54" s="11"/>
      <c r="P54" s="6">
        <v>10161.02</v>
      </c>
      <c r="Q54" s="2"/>
      <c r="R54" s="7">
        <f t="shared" si="32"/>
        <v>12.331334951456311</v>
      </c>
      <c r="S54" s="2"/>
      <c r="T54" s="6"/>
      <c r="U54" s="2"/>
      <c r="V54" s="7">
        <f t="shared" si="33"/>
        <v>0</v>
      </c>
      <c r="W54" s="2"/>
      <c r="X54" s="6">
        <f t="shared" si="34"/>
        <v>10161.02</v>
      </c>
      <c r="Y54" s="2"/>
      <c r="Z54" s="7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4191.4799999999996</v>
      </c>
      <c r="E55" s="2"/>
      <c r="F55" s="7">
        <f t="shared" si="28"/>
        <v>5.0867475728155336</v>
      </c>
      <c r="G55" s="2"/>
      <c r="H55" s="6">
        <v>8675</v>
      </c>
      <c r="I55" s="2"/>
      <c r="J55" s="7">
        <f t="shared" si="29"/>
        <v>1.8263157894736841</v>
      </c>
      <c r="K55" s="2"/>
      <c r="L55" s="6">
        <f t="shared" si="30"/>
        <v>-4483.5200000000004</v>
      </c>
      <c r="M55" s="2"/>
      <c r="N55" s="7">
        <f t="shared" si="31"/>
        <v>-0.51683227665706055</v>
      </c>
      <c r="O55" s="11"/>
      <c r="P55" s="6">
        <v>8101.7</v>
      </c>
      <c r="Q55" s="2"/>
      <c r="R55" s="7">
        <f t="shared" si="32"/>
        <v>9.8321601941747563</v>
      </c>
      <c r="S55" s="2"/>
      <c r="T55" s="6">
        <v>17350</v>
      </c>
      <c r="U55" s="2"/>
      <c r="V55" s="7">
        <f t="shared" si="33"/>
        <v>3.6145833333333335</v>
      </c>
      <c r="W55" s="2"/>
      <c r="X55" s="6">
        <f t="shared" si="34"/>
        <v>-9248.2999999999993</v>
      </c>
      <c r="Y55" s="2"/>
      <c r="Z55" s="7">
        <f t="shared" si="35"/>
        <v>-0.533043227665706</v>
      </c>
    </row>
    <row r="56" spans="1:26" s="29" customFormat="1" outlineLevel="1" collapsed="1" x14ac:dyDescent="0.25">
      <c r="A56" s="28"/>
      <c r="B56" s="14" t="str">
        <f>CONCATENATE("     ","Freight out/Postage                               ")</f>
        <v xml:space="preserve">     Freight out/Postage                               </v>
      </c>
      <c r="C56" s="14"/>
      <c r="D56" s="1">
        <f>SUM(OSRRefD22_6x_0)</f>
        <v>3.94</v>
      </c>
      <c r="E56" s="1"/>
      <c r="F56" s="5">
        <f t="shared" ref="F56:F68" si="36">IF(D$12=0,0,D56/D$12)</f>
        <v>4.7815533980582522E-3</v>
      </c>
      <c r="G56" s="1"/>
      <c r="H56" s="1">
        <f>SUM(OSRRefH22_6x_0)</f>
        <v>0</v>
      </c>
      <c r="I56" s="1"/>
      <c r="J56" s="5">
        <f t="shared" ref="J56:J68" si="37">IF(H$12=0,0,H56/H$12)</f>
        <v>0</v>
      </c>
      <c r="K56" s="1"/>
      <c r="L56" s="1">
        <f t="shared" ref="L56:L68" si="38">+D56-H56</f>
        <v>3.94</v>
      </c>
      <c r="M56" s="1"/>
      <c r="N56" s="5">
        <f t="shared" ref="N56:N68" si="39">IF(H56=0,0,L56/H56)</f>
        <v>0</v>
      </c>
      <c r="O56" s="14"/>
      <c r="P56" s="1">
        <f>SUM(OSRRefP22_6x_0)</f>
        <v>3.94</v>
      </c>
      <c r="Q56" s="1"/>
      <c r="R56" s="5">
        <f t="shared" ref="R56:R68" si="40">IF(P$12=0,0,P56/P$12)</f>
        <v>4.7815533980582522E-3</v>
      </c>
      <c r="S56" s="1"/>
      <c r="T56" s="1">
        <f>SUM(OSRRefT22_6x_0)</f>
        <v>0</v>
      </c>
      <c r="U56" s="1"/>
      <c r="V56" s="5">
        <f t="shared" ref="V56:V68" si="41">IF(T$12=0,0,T56/T$12)</f>
        <v>0</v>
      </c>
      <c r="W56" s="1"/>
      <c r="X56" s="1">
        <f t="shared" ref="X56:X68" si="42">+P56-T56</f>
        <v>3.94</v>
      </c>
      <c r="Y56" s="1"/>
      <c r="Z56" s="5">
        <f t="shared" ref="Z56:Z68" si="43">IF(T56=0,0,X56/T56)</f>
        <v>0</v>
      </c>
    </row>
    <row r="57" spans="1:26" s="24" customFormat="1" hidden="1" outlineLevel="2" x14ac:dyDescent="0.25">
      <c r="A57" s="27"/>
      <c r="B57" s="11" t="str">
        <f>CONCATENATE("          ", "6305", " - ", "FREIGHT OUT")</f>
        <v xml:space="preserve">          6305 - FREIGHT OUT</v>
      </c>
      <c r="C57" s="11"/>
      <c r="D57" s="6">
        <v>3.94</v>
      </c>
      <c r="E57" s="2"/>
      <c r="F57" s="7">
        <f t="shared" si="36"/>
        <v>4.7815533980582522E-3</v>
      </c>
      <c r="G57" s="2"/>
      <c r="H57" s="6"/>
      <c r="I57" s="2"/>
      <c r="J57" s="7">
        <f t="shared" si="37"/>
        <v>0</v>
      </c>
      <c r="K57" s="2"/>
      <c r="L57" s="6">
        <f t="shared" si="38"/>
        <v>3.94</v>
      </c>
      <c r="M57" s="2"/>
      <c r="N57" s="7">
        <f t="shared" si="39"/>
        <v>0</v>
      </c>
      <c r="O57" s="11"/>
      <c r="P57" s="6">
        <v>3.94</v>
      </c>
      <c r="Q57" s="2"/>
      <c r="R57" s="7">
        <f t="shared" si="40"/>
        <v>4.7815533980582522E-3</v>
      </c>
      <c r="S57" s="2"/>
      <c r="T57" s="6"/>
      <c r="U57" s="2"/>
      <c r="V57" s="7">
        <f t="shared" si="41"/>
        <v>0</v>
      </c>
      <c r="W57" s="2"/>
      <c r="X57" s="6">
        <f t="shared" si="42"/>
        <v>3.94</v>
      </c>
      <c r="Y57" s="2"/>
      <c r="Z57" s="7">
        <f t="shared" si="43"/>
        <v>0</v>
      </c>
    </row>
    <row r="58" spans="1:26" s="29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1509.1</v>
      </c>
      <c r="Q58" s="1"/>
      <c r="R58" s="5">
        <f t="shared" si="40"/>
        <v>1.8314320388349514</v>
      </c>
      <c r="S58" s="1"/>
      <c r="T58" s="1">
        <f>SUM(OSRRefT22_7x_0)</f>
        <v>3150</v>
      </c>
      <c r="U58" s="1"/>
      <c r="V58" s="5">
        <f t="shared" si="41"/>
        <v>0.65625</v>
      </c>
      <c r="W58" s="1"/>
      <c r="X58" s="1">
        <f t="shared" si="42"/>
        <v>-1640.9</v>
      </c>
      <c r="Y58" s="1"/>
      <c r="Z58" s="5">
        <f t="shared" si="43"/>
        <v>-0.5209206349206349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>
        <v>0</v>
      </c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1509.1</v>
      </c>
      <c r="Q59" s="2"/>
      <c r="R59" s="7">
        <f t="shared" si="40"/>
        <v>1.8314320388349514</v>
      </c>
      <c r="S59" s="2"/>
      <c r="T59" s="6">
        <v>3150</v>
      </c>
      <c r="U59" s="2"/>
      <c r="V59" s="7">
        <f t="shared" si="41"/>
        <v>0.65625</v>
      </c>
      <c r="W59" s="2"/>
      <c r="X59" s="6">
        <f t="shared" si="42"/>
        <v>-1640.9</v>
      </c>
      <c r="Y59" s="2"/>
      <c r="Z59" s="7">
        <f t="shared" si="43"/>
        <v>-0.5209206349206349</v>
      </c>
    </row>
    <row r="60" spans="1:26" s="29" customFormat="1" outlineLevel="1" collapsed="1" x14ac:dyDescent="0.25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243.54</v>
      </c>
      <c r="E60" s="1"/>
      <c r="F60" s="5">
        <f t="shared" si="36"/>
        <v>0.29555825242718448</v>
      </c>
      <c r="G60" s="1"/>
      <c r="H60" s="1">
        <f>SUM(OSRRefH22_8x_0)</f>
        <v>270</v>
      </c>
      <c r="I60" s="1"/>
      <c r="J60" s="5">
        <f t="shared" si="37"/>
        <v>5.6842105263157895E-2</v>
      </c>
      <c r="K60" s="1"/>
      <c r="L60" s="1">
        <f t="shared" si="38"/>
        <v>-26.460000000000008</v>
      </c>
      <c r="M60" s="1"/>
      <c r="N60" s="5">
        <f t="shared" si="39"/>
        <v>-9.8000000000000032E-2</v>
      </c>
      <c r="O60" s="14"/>
      <c r="P60" s="1">
        <f>SUM(OSRRefP22_8x_0)</f>
        <v>487.08</v>
      </c>
      <c r="Q60" s="1"/>
      <c r="R60" s="5">
        <f t="shared" si="40"/>
        <v>0.59111650485436895</v>
      </c>
      <c r="S60" s="1"/>
      <c r="T60" s="1">
        <f>SUM(OSRRefT22_8x_0)</f>
        <v>540</v>
      </c>
      <c r="U60" s="1"/>
      <c r="V60" s="5">
        <f t="shared" si="41"/>
        <v>0.1125</v>
      </c>
      <c r="W60" s="1"/>
      <c r="X60" s="1">
        <f t="shared" si="42"/>
        <v>-52.920000000000016</v>
      </c>
      <c r="Y60" s="1"/>
      <c r="Z60" s="5">
        <f t="shared" si="43"/>
        <v>-9.8000000000000032E-2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243.54</v>
      </c>
      <c r="E61" s="2"/>
      <c r="F61" s="7">
        <f t="shared" si="36"/>
        <v>0.29555825242718448</v>
      </c>
      <c r="G61" s="2"/>
      <c r="H61" s="6">
        <v>270</v>
      </c>
      <c r="I61" s="2"/>
      <c r="J61" s="7">
        <f t="shared" si="37"/>
        <v>5.6842105263157895E-2</v>
      </c>
      <c r="K61" s="2"/>
      <c r="L61" s="6">
        <f t="shared" si="38"/>
        <v>-26.460000000000008</v>
      </c>
      <c r="M61" s="2"/>
      <c r="N61" s="7">
        <f t="shared" si="39"/>
        <v>-9.8000000000000032E-2</v>
      </c>
      <c r="O61" s="11"/>
      <c r="P61" s="6">
        <v>487.08</v>
      </c>
      <c r="Q61" s="2"/>
      <c r="R61" s="7">
        <f t="shared" si="40"/>
        <v>0.59111650485436895</v>
      </c>
      <c r="S61" s="2"/>
      <c r="T61" s="6">
        <v>540</v>
      </c>
      <c r="U61" s="2"/>
      <c r="V61" s="7">
        <f t="shared" si="41"/>
        <v>0.1125</v>
      </c>
      <c r="W61" s="2"/>
      <c r="X61" s="6">
        <f t="shared" si="42"/>
        <v>-52.920000000000016</v>
      </c>
      <c r="Y61" s="2"/>
      <c r="Z61" s="7">
        <f t="shared" si="43"/>
        <v>-9.8000000000000032E-2</v>
      </c>
    </row>
    <row r="62" spans="1:26" s="29" customFormat="1" outlineLevel="1" collapsed="1" x14ac:dyDescent="0.25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4044</v>
      </c>
      <c r="E62" s="1"/>
      <c r="F62" s="5">
        <f t="shared" si="36"/>
        <v>4.907766990291262</v>
      </c>
      <c r="G62" s="1"/>
      <c r="H62" s="1">
        <f>SUM(OSRRefH22_9x_0)</f>
        <v>4044</v>
      </c>
      <c r="I62" s="1"/>
      <c r="J62" s="5">
        <f t="shared" si="37"/>
        <v>0.85136842105263155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8088</v>
      </c>
      <c r="Q62" s="1"/>
      <c r="R62" s="5">
        <f t="shared" si="40"/>
        <v>9.8155339805825239</v>
      </c>
      <c r="S62" s="1"/>
      <c r="T62" s="1">
        <f>SUM(OSRRefT22_9x_0)</f>
        <v>8088</v>
      </c>
      <c r="U62" s="1"/>
      <c r="V62" s="5">
        <f t="shared" si="41"/>
        <v>1.6850000000000001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7"/>
      <c r="B63" s="11" t="str">
        <f>CONCATENATE("          ", "6401", " - ", "INTEREST EXPENSE")</f>
        <v xml:space="preserve">          6401 - INTEREST EXPENSE</v>
      </c>
      <c r="C63" s="11"/>
      <c r="D63" s="6">
        <v>4044</v>
      </c>
      <c r="E63" s="2"/>
      <c r="F63" s="7">
        <f t="shared" si="36"/>
        <v>4.907766990291262</v>
      </c>
      <c r="G63" s="2"/>
      <c r="H63" s="6">
        <v>4044</v>
      </c>
      <c r="I63" s="2"/>
      <c r="J63" s="7">
        <f t="shared" si="37"/>
        <v>0.85136842105263155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8088</v>
      </c>
      <c r="Q63" s="2"/>
      <c r="R63" s="7">
        <f t="shared" si="40"/>
        <v>9.8155339805825239</v>
      </c>
      <c r="S63" s="2"/>
      <c r="T63" s="6">
        <v>8088</v>
      </c>
      <c r="U63" s="2"/>
      <c r="V63" s="7">
        <f t="shared" si="41"/>
        <v>1.6850000000000001</v>
      </c>
      <c r="W63" s="2"/>
      <c r="X63" s="6">
        <f t="shared" si="42"/>
        <v>0</v>
      </c>
      <c r="Y63" s="2"/>
      <c r="Z63" s="7">
        <f t="shared" si="43"/>
        <v>0</v>
      </c>
    </row>
    <row r="64" spans="1:26" s="29" customFormat="1" outlineLevel="1" collapsed="1" x14ac:dyDescent="0.25">
      <c r="A64" s="28"/>
      <c r="B64" s="14" t="str">
        <f>CONCATENATE("     ","Rent                                              ")</f>
        <v xml:space="preserve">     Rent                                              </v>
      </c>
      <c r="C64" s="14"/>
      <c r="D64" s="1">
        <f>SUM(OSRRefD22_10x_0)</f>
        <v>0</v>
      </c>
      <c r="E64" s="1"/>
      <c r="F64" s="5">
        <f t="shared" si="36"/>
        <v>0</v>
      </c>
      <c r="G64" s="1"/>
      <c r="H64" s="1">
        <f>SUM(OSRRefH22_10x_0)</f>
        <v>0</v>
      </c>
      <c r="I64" s="1"/>
      <c r="J64" s="5">
        <f t="shared" si="37"/>
        <v>0</v>
      </c>
      <c r="K64" s="1"/>
      <c r="L64" s="1">
        <f t="shared" si="38"/>
        <v>0</v>
      </c>
      <c r="M64" s="1"/>
      <c r="N64" s="5">
        <f t="shared" si="39"/>
        <v>0</v>
      </c>
      <c r="O64" s="14"/>
      <c r="P64" s="1">
        <f>SUM(OSRRefP22_10x_0)</f>
        <v>0</v>
      </c>
      <c r="Q64" s="1"/>
      <c r="R64" s="5">
        <f t="shared" si="40"/>
        <v>0</v>
      </c>
      <c r="S64" s="1"/>
      <c r="T64" s="1">
        <f>SUM(OSRRefT22_10x_0)</f>
        <v>0</v>
      </c>
      <c r="U64" s="1"/>
      <c r="V64" s="5">
        <f t="shared" si="41"/>
        <v>0</v>
      </c>
      <c r="W64" s="1"/>
      <c r="X64" s="1">
        <f t="shared" si="42"/>
        <v>0</v>
      </c>
      <c r="Y64" s="1"/>
      <c r="Z64" s="5">
        <f t="shared" si="43"/>
        <v>0</v>
      </c>
    </row>
    <row r="65" spans="1:26" s="24" customFormat="1" hidden="1" outlineLevel="2" x14ac:dyDescent="0.25">
      <c r="A65" s="27"/>
      <c r="B65" s="11" t="str">
        <f>CONCATENATE("          ", "6273", " - ", "RENT")</f>
        <v xml:space="preserve">          6273 - RENT</v>
      </c>
      <c r="C65" s="11"/>
      <c r="D65" s="6"/>
      <c r="E65" s="2"/>
      <c r="F65" s="7">
        <f t="shared" si="36"/>
        <v>0</v>
      </c>
      <c r="G65" s="2"/>
      <c r="H65" s="6">
        <v>0</v>
      </c>
      <c r="I65" s="2"/>
      <c r="J65" s="7">
        <f t="shared" si="37"/>
        <v>0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/>
      <c r="Q65" s="2"/>
      <c r="R65" s="7">
        <f t="shared" si="40"/>
        <v>0</v>
      </c>
      <c r="S65" s="2"/>
      <c r="T65" s="6">
        <v>0</v>
      </c>
      <c r="U65" s="2"/>
      <c r="V65" s="7">
        <f t="shared" si="41"/>
        <v>0</v>
      </c>
      <c r="W65" s="2"/>
      <c r="X65" s="6">
        <f t="shared" si="42"/>
        <v>0</v>
      </c>
      <c r="Y65" s="2"/>
      <c r="Z65" s="7">
        <f t="shared" si="43"/>
        <v>0</v>
      </c>
    </row>
    <row r="66" spans="1:26" s="29" customFormat="1" outlineLevel="1" collapsed="1" x14ac:dyDescent="0.25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443.7</v>
      </c>
      <c r="E66" s="1"/>
      <c r="F66" s="5">
        <f t="shared" si="36"/>
        <v>0.53847087378640779</v>
      </c>
      <c r="G66" s="1"/>
      <c r="H66" s="1">
        <f>SUM(OSRRefH22_11x_0)</f>
        <v>360</v>
      </c>
      <c r="I66" s="1"/>
      <c r="J66" s="5">
        <f t="shared" si="37"/>
        <v>7.5789473684210532E-2</v>
      </c>
      <c r="K66" s="1"/>
      <c r="L66" s="1">
        <f t="shared" si="38"/>
        <v>83.699999999999989</v>
      </c>
      <c r="M66" s="1"/>
      <c r="N66" s="5">
        <f t="shared" si="39"/>
        <v>0.23249999999999996</v>
      </c>
      <c r="O66" s="14"/>
      <c r="P66" s="1">
        <f>SUM(OSRRefP22_11x_0)</f>
        <v>557.70000000000005</v>
      </c>
      <c r="Q66" s="1"/>
      <c r="R66" s="5">
        <f t="shared" si="40"/>
        <v>0.67682038834951463</v>
      </c>
      <c r="S66" s="1"/>
      <c r="T66" s="1">
        <f>SUM(OSRRefT22_11x_0)</f>
        <v>435</v>
      </c>
      <c r="U66" s="1"/>
      <c r="V66" s="5">
        <f t="shared" si="41"/>
        <v>9.0624999999999997E-2</v>
      </c>
      <c r="W66" s="1"/>
      <c r="X66" s="1">
        <f t="shared" si="42"/>
        <v>122.70000000000005</v>
      </c>
      <c r="Y66" s="1"/>
      <c r="Z66" s="5">
        <f t="shared" si="43"/>
        <v>0.28206896551724148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353.7</v>
      </c>
      <c r="E67" s="2"/>
      <c r="F67" s="7">
        <f t="shared" si="36"/>
        <v>0.42924757281553394</v>
      </c>
      <c r="G67" s="2"/>
      <c r="H67" s="6"/>
      <c r="I67" s="2"/>
      <c r="J67" s="7">
        <f t="shared" si="37"/>
        <v>0</v>
      </c>
      <c r="K67" s="2"/>
      <c r="L67" s="6">
        <f t="shared" si="38"/>
        <v>353.7</v>
      </c>
      <c r="M67" s="2"/>
      <c r="N67" s="7">
        <f t="shared" si="39"/>
        <v>0</v>
      </c>
      <c r="O67" s="11"/>
      <c r="P67" s="6">
        <v>353.7</v>
      </c>
      <c r="Q67" s="2"/>
      <c r="R67" s="7">
        <f t="shared" si="40"/>
        <v>0.42924757281553394</v>
      </c>
      <c r="S67" s="2"/>
      <c r="T67" s="6"/>
      <c r="U67" s="2"/>
      <c r="V67" s="7">
        <f t="shared" si="41"/>
        <v>0</v>
      </c>
      <c r="W67" s="2"/>
      <c r="X67" s="6">
        <f t="shared" si="42"/>
        <v>353.7</v>
      </c>
      <c r="Y67" s="2"/>
      <c r="Z67" s="7">
        <f t="shared" si="43"/>
        <v>0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90</v>
      </c>
      <c r="E68" s="2"/>
      <c r="F68" s="7">
        <f t="shared" si="36"/>
        <v>0.10922330097087378</v>
      </c>
      <c r="G68" s="2"/>
      <c r="H68" s="6">
        <v>360</v>
      </c>
      <c r="I68" s="2"/>
      <c r="J68" s="7">
        <f t="shared" si="37"/>
        <v>7.5789473684210532E-2</v>
      </c>
      <c r="K68" s="2"/>
      <c r="L68" s="6">
        <f t="shared" si="38"/>
        <v>-270</v>
      </c>
      <c r="M68" s="2"/>
      <c r="N68" s="7">
        <f t="shared" si="39"/>
        <v>-0.75</v>
      </c>
      <c r="O68" s="11"/>
      <c r="P68" s="6">
        <v>204</v>
      </c>
      <c r="Q68" s="2"/>
      <c r="R68" s="7">
        <f t="shared" si="40"/>
        <v>0.24757281553398058</v>
      </c>
      <c r="S68" s="2"/>
      <c r="T68" s="6">
        <v>435</v>
      </c>
      <c r="U68" s="2"/>
      <c r="V68" s="7">
        <f t="shared" si="41"/>
        <v>9.0624999999999997E-2</v>
      </c>
      <c r="W68" s="2"/>
      <c r="X68" s="6">
        <f t="shared" si="42"/>
        <v>-231</v>
      </c>
      <c r="Y68" s="2"/>
      <c r="Z68" s="7">
        <f t="shared" si="43"/>
        <v>-0.53103448275862064</v>
      </c>
    </row>
    <row r="69" spans="1:26" s="29" customFormat="1" outlineLevel="1" collapsed="1" x14ac:dyDescent="0.25">
      <c r="A69" s="28"/>
      <c r="B69" s="14" t="str">
        <f>CONCATENATE("     ","Royalty &amp; Commissions                             ")</f>
        <v xml:space="preserve">     Royalty &amp; Commissions                             </v>
      </c>
      <c r="C69" s="14"/>
      <c r="D69" s="1">
        <f>SUM(OSRRefD22_12x_0)</f>
        <v>0</v>
      </c>
      <c r="E69" s="1"/>
      <c r="F69" s="5">
        <f t="shared" ref="F69:F75" si="44">IF(D$12=0,0,D69/D$12)</f>
        <v>0</v>
      </c>
      <c r="G69" s="1"/>
      <c r="H69" s="1">
        <f>SUM(OSRRefH22_12x_0)</f>
        <v>130</v>
      </c>
      <c r="I69" s="1"/>
      <c r="J69" s="5">
        <f t="shared" ref="J69:J75" si="45">IF(H$12=0,0,H69/H$12)</f>
        <v>2.736842105263158E-2</v>
      </c>
      <c r="K69" s="1"/>
      <c r="L69" s="1">
        <f t="shared" ref="L69:L75" si="46">+D69-H69</f>
        <v>-130</v>
      </c>
      <c r="M69" s="1"/>
      <c r="N69" s="5">
        <f t="shared" ref="N69:N75" si="47">IF(H69=0,0,L69/H69)</f>
        <v>-1</v>
      </c>
      <c r="O69" s="14"/>
      <c r="P69" s="1">
        <f>SUM(OSRRefP22_12x_0)</f>
        <v>0</v>
      </c>
      <c r="Q69" s="1"/>
      <c r="R69" s="5">
        <f t="shared" ref="R69:R75" si="48">IF(P$12=0,0,P69/P$12)</f>
        <v>0</v>
      </c>
      <c r="S69" s="1"/>
      <c r="T69" s="1">
        <f>SUM(OSRRefT22_12x_0)</f>
        <v>130</v>
      </c>
      <c r="U69" s="1"/>
      <c r="V69" s="5">
        <f t="shared" ref="V69:V75" si="49">IF(T$12=0,0,T69/T$12)</f>
        <v>2.7083333333333334E-2</v>
      </c>
      <c r="W69" s="1"/>
      <c r="X69" s="1">
        <f t="shared" ref="X69:X75" si="50">+P69-T69</f>
        <v>-130</v>
      </c>
      <c r="Y69" s="1"/>
      <c r="Z69" s="5">
        <f t="shared" ref="Z69:Z75" si="51">IF(T69=0,0,X69/T69)</f>
        <v>-1</v>
      </c>
    </row>
    <row r="70" spans="1:26" s="24" customFormat="1" hidden="1" outlineLevel="2" x14ac:dyDescent="0.25">
      <c r="A70" s="27"/>
      <c r="B70" s="11" t="str">
        <f>CONCATENATE("          ", "6259", " - ", "ROYALTY &amp; COMMISSIONS")</f>
        <v xml:space="preserve">          6259 - ROYALTY &amp; COMMISSIONS</v>
      </c>
      <c r="C70" s="11"/>
      <c r="D70" s="6"/>
      <c r="E70" s="2"/>
      <c r="F70" s="7">
        <f t="shared" si="44"/>
        <v>0</v>
      </c>
      <c r="G70" s="2"/>
      <c r="H70" s="6">
        <v>130</v>
      </c>
      <c r="I70" s="2"/>
      <c r="J70" s="7">
        <f t="shared" si="45"/>
        <v>2.736842105263158E-2</v>
      </c>
      <c r="K70" s="2"/>
      <c r="L70" s="6">
        <f t="shared" si="46"/>
        <v>-130</v>
      </c>
      <c r="M70" s="2"/>
      <c r="N70" s="7">
        <f t="shared" si="47"/>
        <v>-1</v>
      </c>
      <c r="O70" s="11"/>
      <c r="P70" s="6"/>
      <c r="Q70" s="2"/>
      <c r="R70" s="7">
        <f t="shared" si="48"/>
        <v>0</v>
      </c>
      <c r="S70" s="2"/>
      <c r="T70" s="6">
        <v>130</v>
      </c>
      <c r="U70" s="2"/>
      <c r="V70" s="7">
        <f t="shared" si="49"/>
        <v>2.7083333333333334E-2</v>
      </c>
      <c r="W70" s="2"/>
      <c r="X70" s="6">
        <f t="shared" si="50"/>
        <v>-130</v>
      </c>
      <c r="Y70" s="2"/>
      <c r="Z70" s="7">
        <f t="shared" si="51"/>
        <v>-1</v>
      </c>
    </row>
    <row r="71" spans="1:26" s="29" customFormat="1" outlineLevel="1" collapsed="1" x14ac:dyDescent="0.25">
      <c r="A71" s="28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SUM(OSRRefD22_13x_0)</f>
        <v>-769.16</v>
      </c>
      <c r="E71" s="1"/>
      <c r="F71" s="5">
        <f t="shared" si="44"/>
        <v>-0.93344660194174756</v>
      </c>
      <c r="G71" s="1"/>
      <c r="H71" s="1">
        <f>SUM(OSRRefH22_13x_0)</f>
        <v>749</v>
      </c>
      <c r="I71" s="1"/>
      <c r="J71" s="5">
        <f t="shared" si="45"/>
        <v>0.15768421052631579</v>
      </c>
      <c r="K71" s="1"/>
      <c r="L71" s="1">
        <f t="shared" si="46"/>
        <v>-1518.1599999999999</v>
      </c>
      <c r="M71" s="1"/>
      <c r="N71" s="5">
        <f t="shared" si="47"/>
        <v>-2.0269158878504672</v>
      </c>
      <c r="O71" s="14"/>
      <c r="P71" s="1">
        <f>SUM(OSRRefP22_13x_0)</f>
        <v>-1573.76</v>
      </c>
      <c r="Q71" s="1"/>
      <c r="R71" s="5">
        <f t="shared" si="48"/>
        <v>-1.9099029126213591</v>
      </c>
      <c r="S71" s="1"/>
      <c r="T71" s="1">
        <f>SUM(OSRRefT22_13x_0)</f>
        <v>1348</v>
      </c>
      <c r="U71" s="1"/>
      <c r="V71" s="5">
        <f t="shared" si="49"/>
        <v>0.28083333333333332</v>
      </c>
      <c r="W71" s="1"/>
      <c r="X71" s="1">
        <f t="shared" si="50"/>
        <v>-2921.76</v>
      </c>
      <c r="Y71" s="1"/>
      <c r="Z71" s="5">
        <f t="shared" si="51"/>
        <v>-2.1674777448071216</v>
      </c>
    </row>
    <row r="72" spans="1:26" s="24" customFormat="1" hidden="1" outlineLevel="2" x14ac:dyDescent="0.25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>
        <v>-769.16</v>
      </c>
      <c r="E72" s="2"/>
      <c r="F72" s="7">
        <f t="shared" si="44"/>
        <v>-0.93344660194174756</v>
      </c>
      <c r="G72" s="2"/>
      <c r="H72" s="6">
        <v>157</v>
      </c>
      <c r="I72" s="2"/>
      <c r="J72" s="7">
        <f t="shared" si="45"/>
        <v>3.3052631578947368E-2</v>
      </c>
      <c r="K72" s="2"/>
      <c r="L72" s="6">
        <f t="shared" si="46"/>
        <v>-926.16</v>
      </c>
      <c r="M72" s="2"/>
      <c r="N72" s="7">
        <f t="shared" si="47"/>
        <v>-5.8991082802547767</v>
      </c>
      <c r="O72" s="11"/>
      <c r="P72" s="6">
        <v>-769.16</v>
      </c>
      <c r="Q72" s="2"/>
      <c r="R72" s="7">
        <f t="shared" si="48"/>
        <v>-0.93344660194174756</v>
      </c>
      <c r="S72" s="2"/>
      <c r="T72" s="6">
        <v>314</v>
      </c>
      <c r="U72" s="2"/>
      <c r="V72" s="7">
        <f t="shared" si="49"/>
        <v>6.5416666666666665E-2</v>
      </c>
      <c r="W72" s="2"/>
      <c r="X72" s="6">
        <f t="shared" si="50"/>
        <v>-1083.1599999999999</v>
      </c>
      <c r="Y72" s="2"/>
      <c r="Z72" s="7">
        <f t="shared" si="51"/>
        <v>-3.4495541401273879</v>
      </c>
    </row>
    <row r="73" spans="1:26" s="24" customFormat="1" hidden="1" outlineLevel="2" x14ac:dyDescent="0.25">
      <c r="A73" s="27"/>
      <c r="B73" s="11" t="str">
        <f>CONCATENATE("          ", "6284", " - ", "TRASH REMOVAL EXPENSE")</f>
        <v xml:space="preserve">          6284 - TRASH REMOVAL EXPENSE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/>
      <c r="Q73" s="2"/>
      <c r="R73" s="7">
        <f t="shared" si="48"/>
        <v>0</v>
      </c>
      <c r="S73" s="2"/>
      <c r="T73" s="6">
        <v>237</v>
      </c>
      <c r="U73" s="2"/>
      <c r="V73" s="7">
        <f t="shared" si="49"/>
        <v>4.9375000000000002E-2</v>
      </c>
      <c r="W73" s="2"/>
      <c r="X73" s="6">
        <f t="shared" si="50"/>
        <v>-237</v>
      </c>
      <c r="Y73" s="2"/>
      <c r="Z73" s="7">
        <f t="shared" si="51"/>
        <v>-1</v>
      </c>
    </row>
    <row r="74" spans="1:26" s="24" customFormat="1" hidden="1" outlineLevel="2" x14ac:dyDescent="0.25">
      <c r="A74" s="27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44"/>
        <v>0</v>
      </c>
      <c r="G74" s="2"/>
      <c r="H74" s="6">
        <v>450</v>
      </c>
      <c r="I74" s="2"/>
      <c r="J74" s="7">
        <f t="shared" si="45"/>
        <v>9.4736842105263161E-2</v>
      </c>
      <c r="K74" s="2"/>
      <c r="L74" s="6">
        <f t="shared" si="46"/>
        <v>-450</v>
      </c>
      <c r="M74" s="2"/>
      <c r="N74" s="7">
        <f t="shared" si="47"/>
        <v>-1</v>
      </c>
      <c r="O74" s="11"/>
      <c r="P74" s="6">
        <v>-804.6</v>
      </c>
      <c r="Q74" s="2"/>
      <c r="R74" s="7">
        <f t="shared" si="48"/>
        <v>-0.97645631067961169</v>
      </c>
      <c r="S74" s="2"/>
      <c r="T74" s="6">
        <v>613</v>
      </c>
      <c r="U74" s="2"/>
      <c r="V74" s="7">
        <f t="shared" si="49"/>
        <v>0.12770833333333334</v>
      </c>
      <c r="W74" s="2"/>
      <c r="X74" s="6">
        <f t="shared" si="50"/>
        <v>-1417.6</v>
      </c>
      <c r="Y74" s="2"/>
      <c r="Z74" s="7">
        <f t="shared" si="51"/>
        <v>-2.3125611745513863</v>
      </c>
    </row>
    <row r="75" spans="1:26" s="24" customFormat="1" hidden="1" outlineLevel="2" x14ac:dyDescent="0.25">
      <c r="A75" s="27"/>
      <c r="B75" s="11" t="str">
        <f>CONCATENATE("          ", "6286", " - ", "LAUNDRY EXPENSE")</f>
        <v xml:space="preserve">          6286 - LAUNDRY EXPENSE</v>
      </c>
      <c r="C75" s="11"/>
      <c r="D75" s="6"/>
      <c r="E75" s="2"/>
      <c r="F75" s="7">
        <f t="shared" si="44"/>
        <v>0</v>
      </c>
      <c r="G75" s="2"/>
      <c r="H75" s="6">
        <v>142</v>
      </c>
      <c r="I75" s="2"/>
      <c r="J75" s="7">
        <f t="shared" si="45"/>
        <v>2.9894736842105262E-2</v>
      </c>
      <c r="K75" s="2"/>
      <c r="L75" s="6">
        <f t="shared" si="46"/>
        <v>-142</v>
      </c>
      <c r="M75" s="2"/>
      <c r="N75" s="7">
        <f t="shared" si="47"/>
        <v>-1</v>
      </c>
      <c r="O75" s="11"/>
      <c r="P75" s="6"/>
      <c r="Q75" s="2"/>
      <c r="R75" s="7">
        <f t="shared" si="48"/>
        <v>0</v>
      </c>
      <c r="S75" s="2"/>
      <c r="T75" s="6">
        <v>184</v>
      </c>
      <c r="U75" s="2"/>
      <c r="V75" s="7">
        <f t="shared" si="49"/>
        <v>3.833333333333333E-2</v>
      </c>
      <c r="W75" s="2"/>
      <c r="X75" s="6">
        <f t="shared" si="50"/>
        <v>-184</v>
      </c>
      <c r="Y75" s="2"/>
      <c r="Z75" s="7">
        <f t="shared" si="51"/>
        <v>-1</v>
      </c>
    </row>
    <row r="76" spans="1:26" s="29" customFormat="1" outlineLevel="1" collapsed="1" x14ac:dyDescent="0.25">
      <c r="A76" s="28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SUM(OSRRefD22_14x_0)</f>
        <v>0</v>
      </c>
      <c r="E76" s="1"/>
      <c r="F76" s="5">
        <f t="shared" ref="F76:F83" si="52">IF(D$12=0,0,D76/D$12)</f>
        <v>0</v>
      </c>
      <c r="G76" s="1"/>
      <c r="H76" s="1">
        <f>SUM(OSRRefH22_14x_0)</f>
        <v>176</v>
      </c>
      <c r="I76" s="1"/>
      <c r="J76" s="5">
        <f t="shared" ref="J76:J83" si="53">IF(H$12=0,0,H76/H$12)</f>
        <v>3.7052631578947372E-2</v>
      </c>
      <c r="K76" s="1"/>
      <c r="L76" s="1">
        <f t="shared" ref="L76:L83" si="54">+D76-H76</f>
        <v>-176</v>
      </c>
      <c r="M76" s="1"/>
      <c r="N76" s="5">
        <f t="shared" ref="N76:N83" si="55">IF(H76=0,0,L76/H76)</f>
        <v>-1</v>
      </c>
      <c r="O76" s="14"/>
      <c r="P76" s="1">
        <f>SUM(OSRRefP22_14x_0)</f>
        <v>0</v>
      </c>
      <c r="Q76" s="1"/>
      <c r="R76" s="5">
        <f t="shared" ref="R76:R83" si="56">IF(P$12=0,0,P76/P$12)</f>
        <v>0</v>
      </c>
      <c r="S76" s="1"/>
      <c r="T76" s="1">
        <f>SUM(OSRRefT22_14x_0)</f>
        <v>352</v>
      </c>
      <c r="U76" s="1"/>
      <c r="V76" s="5">
        <f t="shared" ref="V76:V83" si="57">IF(T$12=0,0,T76/T$12)</f>
        <v>7.3333333333333334E-2</v>
      </c>
      <c r="W76" s="1"/>
      <c r="X76" s="1">
        <f t="shared" ref="X76:X83" si="58">+P76-T76</f>
        <v>-352</v>
      </c>
      <c r="Y76" s="1"/>
      <c r="Z76" s="5">
        <f t="shared" ref="Z76:Z83" si="59">IF(T76=0,0,X76/T76)</f>
        <v>-1</v>
      </c>
    </row>
    <row r="77" spans="1:26" s="24" customFormat="1" hidden="1" outlineLevel="2" x14ac:dyDescent="0.25">
      <c r="A77" s="27"/>
      <c r="B77" s="11" t="str">
        <f>CONCATENATE("          ", "6275", " - ", "SUBSCRIPTIONS")</f>
        <v xml:space="preserve">          6275 - SUBSCRIPTIONS</v>
      </c>
      <c r="C77" s="11"/>
      <c r="D77" s="6"/>
      <c r="E77" s="2"/>
      <c r="F77" s="7">
        <f t="shared" si="52"/>
        <v>0</v>
      </c>
      <c r="G77" s="2"/>
      <c r="H77" s="6">
        <v>176</v>
      </c>
      <c r="I77" s="2"/>
      <c r="J77" s="7">
        <f t="shared" si="53"/>
        <v>3.7052631578947372E-2</v>
      </c>
      <c r="K77" s="2"/>
      <c r="L77" s="6">
        <f t="shared" si="54"/>
        <v>-176</v>
      </c>
      <c r="M77" s="2"/>
      <c r="N77" s="7">
        <f t="shared" si="55"/>
        <v>-1</v>
      </c>
      <c r="O77" s="11"/>
      <c r="P77" s="6"/>
      <c r="Q77" s="2"/>
      <c r="R77" s="7">
        <f t="shared" si="56"/>
        <v>0</v>
      </c>
      <c r="S77" s="2"/>
      <c r="T77" s="6">
        <v>352</v>
      </c>
      <c r="U77" s="2"/>
      <c r="V77" s="7">
        <f t="shared" si="57"/>
        <v>7.3333333333333334E-2</v>
      </c>
      <c r="W77" s="2"/>
      <c r="X77" s="6">
        <f t="shared" si="58"/>
        <v>-352</v>
      </c>
      <c r="Y77" s="2"/>
      <c r="Z77" s="7">
        <f t="shared" si="59"/>
        <v>-1</v>
      </c>
    </row>
    <row r="78" spans="1:26" s="29" customFormat="1" outlineLevel="1" collapsed="1" x14ac:dyDescent="0.25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SUM(OSRRefD22_15x_0)</f>
        <v>121.6</v>
      </c>
      <c r="E78" s="1"/>
      <c r="F78" s="5">
        <f t="shared" si="52"/>
        <v>0.14757281553398058</v>
      </c>
      <c r="G78" s="1"/>
      <c r="H78" s="1">
        <f>SUM(OSRRefH22_15x_0)</f>
        <v>2505</v>
      </c>
      <c r="I78" s="1"/>
      <c r="J78" s="5">
        <f t="shared" si="53"/>
        <v>0.5273684210526316</v>
      </c>
      <c r="K78" s="1"/>
      <c r="L78" s="1">
        <f t="shared" si="54"/>
        <v>-2383.4</v>
      </c>
      <c r="M78" s="1"/>
      <c r="N78" s="5">
        <f t="shared" si="55"/>
        <v>-0.95145708582834332</v>
      </c>
      <c r="O78" s="14"/>
      <c r="P78" s="1">
        <f>SUM(OSRRefP22_15x_0)</f>
        <v>328.87</v>
      </c>
      <c r="Q78" s="1"/>
      <c r="R78" s="5">
        <f t="shared" si="56"/>
        <v>0.39911407766990292</v>
      </c>
      <c r="S78" s="1"/>
      <c r="T78" s="1">
        <f>SUM(OSRRefT22_15x_0)</f>
        <v>3292</v>
      </c>
      <c r="U78" s="1"/>
      <c r="V78" s="5">
        <f t="shared" si="57"/>
        <v>0.68583333333333329</v>
      </c>
      <c r="W78" s="1"/>
      <c r="X78" s="1">
        <f t="shared" si="58"/>
        <v>-2963.13</v>
      </c>
      <c r="Y78" s="1"/>
      <c r="Z78" s="5">
        <f t="shared" si="59"/>
        <v>-0.90010024301336578</v>
      </c>
    </row>
    <row r="79" spans="1:26" s="24" customFormat="1" hidden="1" outlineLevel="2" x14ac:dyDescent="0.25">
      <c r="A79" s="27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52"/>
        <v>0</v>
      </c>
      <c r="G79" s="2"/>
      <c r="H79" s="6">
        <v>1200</v>
      </c>
      <c r="I79" s="2"/>
      <c r="J79" s="7">
        <f t="shared" si="53"/>
        <v>0.25263157894736843</v>
      </c>
      <c r="K79" s="2"/>
      <c r="L79" s="6">
        <f t="shared" si="54"/>
        <v>-1200</v>
      </c>
      <c r="M79" s="2"/>
      <c r="N79" s="7">
        <f t="shared" si="55"/>
        <v>-1</v>
      </c>
      <c r="O79" s="11"/>
      <c r="P79" s="6">
        <v>207.27</v>
      </c>
      <c r="Q79" s="2"/>
      <c r="R79" s="7">
        <f t="shared" si="56"/>
        <v>0.25154126213592232</v>
      </c>
      <c r="S79" s="2"/>
      <c r="T79" s="6">
        <v>1200</v>
      </c>
      <c r="U79" s="2"/>
      <c r="V79" s="7">
        <f t="shared" si="57"/>
        <v>0.25</v>
      </c>
      <c r="W79" s="2"/>
      <c r="X79" s="6">
        <f t="shared" si="58"/>
        <v>-992.73</v>
      </c>
      <c r="Y79" s="2"/>
      <c r="Z79" s="7">
        <f t="shared" si="59"/>
        <v>-0.82727499999999998</v>
      </c>
    </row>
    <row r="80" spans="1:26" s="24" customFormat="1" hidden="1" outlineLevel="2" x14ac:dyDescent="0.25">
      <c r="A80" s="27"/>
      <c r="B80" s="11" t="str">
        <f>CONCATENATE("          ", "6241", " - ", "OFFICE EXPENSE")</f>
        <v xml:space="preserve">          6241 - OFFICE EXPENSE</v>
      </c>
      <c r="C80" s="11"/>
      <c r="D80" s="6">
        <v>41.32</v>
      </c>
      <c r="E80" s="2"/>
      <c r="F80" s="7">
        <f t="shared" si="52"/>
        <v>5.0145631067961167E-2</v>
      </c>
      <c r="G80" s="2"/>
      <c r="H80" s="6"/>
      <c r="I80" s="2"/>
      <c r="J80" s="7">
        <f t="shared" si="53"/>
        <v>0</v>
      </c>
      <c r="K80" s="2"/>
      <c r="L80" s="6">
        <f t="shared" si="54"/>
        <v>41.32</v>
      </c>
      <c r="M80" s="2"/>
      <c r="N80" s="7">
        <f t="shared" si="55"/>
        <v>0</v>
      </c>
      <c r="O80" s="11"/>
      <c r="P80" s="6">
        <v>41.32</v>
      </c>
      <c r="Q80" s="2"/>
      <c r="R80" s="7">
        <f t="shared" si="56"/>
        <v>5.0145631067961167E-2</v>
      </c>
      <c r="S80" s="2"/>
      <c r="T80" s="6"/>
      <c r="U80" s="2"/>
      <c r="V80" s="7">
        <f t="shared" si="57"/>
        <v>0</v>
      </c>
      <c r="W80" s="2"/>
      <c r="X80" s="6">
        <f t="shared" si="58"/>
        <v>41.32</v>
      </c>
      <c r="Y80" s="2"/>
      <c r="Z80" s="7">
        <f t="shared" si="59"/>
        <v>0</v>
      </c>
    </row>
    <row r="81" spans="1:26" s="24" customFormat="1" hidden="1" outlineLevel="2" x14ac:dyDescent="0.25">
      <c r="A81" s="27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2"/>
        <v>0</v>
      </c>
      <c r="G81" s="2"/>
      <c r="H81" s="6">
        <v>193</v>
      </c>
      <c r="I81" s="2"/>
      <c r="J81" s="7">
        <f t="shared" si="53"/>
        <v>4.0631578947368421E-2</v>
      </c>
      <c r="K81" s="2"/>
      <c r="L81" s="6">
        <f t="shared" si="54"/>
        <v>-193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193</v>
      </c>
      <c r="U81" s="2"/>
      <c r="V81" s="7">
        <f t="shared" si="57"/>
        <v>4.0208333333333332E-2</v>
      </c>
      <c r="W81" s="2"/>
      <c r="X81" s="6">
        <f t="shared" si="58"/>
        <v>-193</v>
      </c>
      <c r="Y81" s="2"/>
      <c r="Z81" s="7">
        <f t="shared" si="59"/>
        <v>-1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>
        <v>80.28</v>
      </c>
      <c r="E82" s="2"/>
      <c r="F82" s="7">
        <f t="shared" si="52"/>
        <v>9.7427184466019418E-2</v>
      </c>
      <c r="G82" s="2"/>
      <c r="H82" s="6">
        <v>1012</v>
      </c>
      <c r="I82" s="2"/>
      <c r="J82" s="7">
        <f t="shared" si="53"/>
        <v>0.21305263157894735</v>
      </c>
      <c r="K82" s="2"/>
      <c r="L82" s="6">
        <f t="shared" si="54"/>
        <v>-931.72</v>
      </c>
      <c r="M82" s="2"/>
      <c r="N82" s="7">
        <f t="shared" si="55"/>
        <v>-0.92067193675889336</v>
      </c>
      <c r="O82" s="11"/>
      <c r="P82" s="6">
        <v>80.28</v>
      </c>
      <c r="Q82" s="2"/>
      <c r="R82" s="7">
        <f t="shared" si="56"/>
        <v>9.7427184466019418E-2</v>
      </c>
      <c r="S82" s="2"/>
      <c r="T82" s="6">
        <v>1799</v>
      </c>
      <c r="U82" s="2"/>
      <c r="V82" s="7">
        <f t="shared" si="57"/>
        <v>0.37479166666666669</v>
      </c>
      <c r="W82" s="2"/>
      <c r="X82" s="6">
        <f t="shared" si="58"/>
        <v>-1718.72</v>
      </c>
      <c r="Y82" s="2"/>
      <c r="Z82" s="7">
        <f t="shared" si="59"/>
        <v>-0.95537520844913848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52"/>
        <v>0</v>
      </c>
      <c r="G83" s="2"/>
      <c r="H83" s="6">
        <v>100</v>
      </c>
      <c r="I83" s="2"/>
      <c r="J83" s="7">
        <f t="shared" si="53"/>
        <v>2.1052631578947368E-2</v>
      </c>
      <c r="K83" s="2"/>
      <c r="L83" s="6">
        <f t="shared" si="54"/>
        <v>-100</v>
      </c>
      <c r="M83" s="2"/>
      <c r="N83" s="7">
        <f t="shared" si="55"/>
        <v>-1</v>
      </c>
      <c r="O83" s="11"/>
      <c r="P83" s="6"/>
      <c r="Q83" s="2"/>
      <c r="R83" s="7">
        <f t="shared" si="56"/>
        <v>0</v>
      </c>
      <c r="S83" s="2"/>
      <c r="T83" s="6">
        <v>100</v>
      </c>
      <c r="U83" s="2"/>
      <c r="V83" s="7">
        <f t="shared" si="57"/>
        <v>2.0833333333333332E-2</v>
      </c>
      <c r="W83" s="2"/>
      <c r="X83" s="6">
        <f t="shared" si="58"/>
        <v>-100</v>
      </c>
      <c r="Y83" s="2"/>
      <c r="Z83" s="7">
        <f t="shared" si="59"/>
        <v>-1</v>
      </c>
    </row>
    <row r="84" spans="1:26" s="29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SUM(OSRRefD22_16x_0)</f>
        <v>388.56</v>
      </c>
      <c r="E84" s="1"/>
      <c r="F84" s="5">
        <f t="shared" ref="F84:F86" si="60">IF(D$12=0,0,D84/D$12)</f>
        <v>0.47155339805825242</v>
      </c>
      <c r="G84" s="1"/>
      <c r="H84" s="1">
        <f>SUM(OSRRefH22_16x_0)</f>
        <v>235</v>
      </c>
      <c r="I84" s="1"/>
      <c r="J84" s="5">
        <f t="shared" ref="J84:J86" si="61">IF(H$12=0,0,H84/H$12)</f>
        <v>4.9473684210526316E-2</v>
      </c>
      <c r="K84" s="1"/>
      <c r="L84" s="1">
        <f t="shared" ref="L84:L86" si="62">+D84-H84</f>
        <v>153.56</v>
      </c>
      <c r="M84" s="1"/>
      <c r="N84" s="5">
        <f t="shared" ref="N84:N86" si="63">IF(H84=0,0,L84/H84)</f>
        <v>0.6534468085106383</v>
      </c>
      <c r="O84" s="14"/>
      <c r="P84" s="1">
        <f>SUM(OSRRefP22_16x_0)</f>
        <v>777.37</v>
      </c>
      <c r="Q84" s="1"/>
      <c r="R84" s="5">
        <f t="shared" ref="R84:R86" si="64">IF(P$12=0,0,P84/P$12)</f>
        <v>0.94341019417475724</v>
      </c>
      <c r="S84" s="1"/>
      <c r="T84" s="1">
        <f>SUM(OSRRefT22_16x_0)</f>
        <v>617</v>
      </c>
      <c r="U84" s="1"/>
      <c r="V84" s="5">
        <f t="shared" ref="V84:V86" si="65">IF(T$12=0,0,T84/T$12)</f>
        <v>0.12854166666666667</v>
      </c>
      <c r="W84" s="1"/>
      <c r="X84" s="1">
        <f t="shared" ref="X84:X86" si="66">+P84-T84</f>
        <v>160.37</v>
      </c>
      <c r="Y84" s="1"/>
      <c r="Z84" s="5">
        <f t="shared" ref="Z84:Z86" si="67">IF(T84=0,0,X84/T84)</f>
        <v>0.25991896272285253</v>
      </c>
    </row>
    <row r="85" spans="1:26" s="24" customFormat="1" hidden="1" outlineLevel="2" x14ac:dyDescent="0.25">
      <c r="A85" s="27"/>
      <c r="B85" s="11" t="str">
        <f>CONCATENATE("          ", "6303", " - ", "DATA PHONE LINES")</f>
        <v xml:space="preserve">          6303 - DATA PHONE LINES</v>
      </c>
      <c r="C85" s="11"/>
      <c r="D85" s="6"/>
      <c r="E85" s="2"/>
      <c r="F85" s="7">
        <f t="shared" si="60"/>
        <v>0</v>
      </c>
      <c r="G85" s="2"/>
      <c r="H85" s="6">
        <v>235</v>
      </c>
      <c r="I85" s="2"/>
      <c r="J85" s="7">
        <f t="shared" si="61"/>
        <v>4.9473684210526316E-2</v>
      </c>
      <c r="K85" s="2"/>
      <c r="L85" s="6">
        <f t="shared" si="62"/>
        <v>-235</v>
      </c>
      <c r="M85" s="2"/>
      <c r="N85" s="7">
        <f t="shared" si="63"/>
        <v>-1</v>
      </c>
      <c r="O85" s="11"/>
      <c r="P85" s="6"/>
      <c r="Q85" s="2"/>
      <c r="R85" s="7">
        <f t="shared" si="64"/>
        <v>0</v>
      </c>
      <c r="S85" s="2"/>
      <c r="T85" s="6">
        <v>467</v>
      </c>
      <c r="U85" s="2"/>
      <c r="V85" s="7">
        <f t="shared" si="65"/>
        <v>9.7291666666666665E-2</v>
      </c>
      <c r="W85" s="2"/>
      <c r="X85" s="6">
        <f t="shared" si="66"/>
        <v>-467</v>
      </c>
      <c r="Y85" s="2"/>
      <c r="Z85" s="7">
        <f t="shared" si="67"/>
        <v>-1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388.56</v>
      </c>
      <c r="E86" s="2"/>
      <c r="F86" s="7">
        <f t="shared" si="60"/>
        <v>0.47155339805825242</v>
      </c>
      <c r="G86" s="2"/>
      <c r="H86" s="6"/>
      <c r="I86" s="2"/>
      <c r="J86" s="7">
        <f t="shared" si="61"/>
        <v>0</v>
      </c>
      <c r="K86" s="2"/>
      <c r="L86" s="6">
        <f t="shared" si="62"/>
        <v>388.56</v>
      </c>
      <c r="M86" s="2"/>
      <c r="N86" s="7">
        <f t="shared" si="63"/>
        <v>0</v>
      </c>
      <c r="O86" s="11"/>
      <c r="P86" s="6">
        <v>777.37</v>
      </c>
      <c r="Q86" s="2"/>
      <c r="R86" s="7">
        <f t="shared" si="64"/>
        <v>0.94341019417475724</v>
      </c>
      <c r="S86" s="2"/>
      <c r="T86" s="6">
        <v>150</v>
      </c>
      <c r="U86" s="2"/>
      <c r="V86" s="7">
        <f t="shared" si="65"/>
        <v>3.125E-2</v>
      </c>
      <c r="W86" s="2"/>
      <c r="X86" s="6">
        <f t="shared" si="66"/>
        <v>627.37</v>
      </c>
      <c r="Y86" s="2"/>
      <c r="Z86" s="7">
        <f t="shared" si="67"/>
        <v>4.1824666666666666</v>
      </c>
    </row>
    <row r="87" spans="1:26" s="29" customFormat="1" outlineLevel="1" collapsed="1" x14ac:dyDescent="0.25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SUM(OSRRefD22_17x_0)</f>
        <v>0</v>
      </c>
      <c r="E87" s="1"/>
      <c r="F87" s="5">
        <f t="shared" ref="F87:F90" si="68">IF(D$12=0,0,D87/D$12)</f>
        <v>0</v>
      </c>
      <c r="G87" s="1"/>
      <c r="H87" s="1">
        <f>SUM(OSRRefH22_17x_0)</f>
        <v>120</v>
      </c>
      <c r="I87" s="1"/>
      <c r="J87" s="5">
        <f t="shared" ref="J87:J90" si="69">IF(H$12=0,0,H87/H$12)</f>
        <v>2.5263157894736842E-2</v>
      </c>
      <c r="K87" s="1"/>
      <c r="L87" s="1">
        <f t="shared" ref="L87:L90" si="70">+D87-H87</f>
        <v>-120</v>
      </c>
      <c r="M87" s="1"/>
      <c r="N87" s="5">
        <f t="shared" ref="N87:N90" si="71">IF(H87=0,0,L87/H87)</f>
        <v>-1</v>
      </c>
      <c r="O87" s="14"/>
      <c r="P87" s="1">
        <f>SUM(OSRRefP22_17x_0)</f>
        <v>0</v>
      </c>
      <c r="Q87" s="1"/>
      <c r="R87" s="5">
        <f t="shared" ref="R87:R90" si="72">IF(P$12=0,0,P87/P$12)</f>
        <v>0</v>
      </c>
      <c r="S87" s="1"/>
      <c r="T87" s="1">
        <f>SUM(OSRRefT22_17x_0)</f>
        <v>120</v>
      </c>
      <c r="U87" s="1"/>
      <c r="V87" s="5">
        <f t="shared" ref="V87:V90" si="73">IF(T$12=0,0,T87/T$12)</f>
        <v>2.5000000000000001E-2</v>
      </c>
      <c r="W87" s="1"/>
      <c r="X87" s="1">
        <f t="shared" ref="X87:X90" si="74">+P87-T87</f>
        <v>-120</v>
      </c>
      <c r="Y87" s="1"/>
      <c r="Z87" s="5">
        <f t="shared" ref="Z87:Z90" si="75">IF(T87=0,0,X87/T87)</f>
        <v>-1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8"/>
        <v>0</v>
      </c>
      <c r="G88" s="2"/>
      <c r="H88" s="6">
        <v>120</v>
      </c>
      <c r="I88" s="2"/>
      <c r="J88" s="7">
        <f t="shared" si="69"/>
        <v>2.5263157894736842E-2</v>
      </c>
      <c r="K88" s="2"/>
      <c r="L88" s="6">
        <f t="shared" si="70"/>
        <v>-120</v>
      </c>
      <c r="M88" s="2"/>
      <c r="N88" s="7">
        <f t="shared" si="71"/>
        <v>-1</v>
      </c>
      <c r="O88" s="11"/>
      <c r="P88" s="6"/>
      <c r="Q88" s="2"/>
      <c r="R88" s="7">
        <f t="shared" si="72"/>
        <v>0</v>
      </c>
      <c r="S88" s="2"/>
      <c r="T88" s="6">
        <v>120</v>
      </c>
      <c r="U88" s="2"/>
      <c r="V88" s="7">
        <f t="shared" si="73"/>
        <v>2.5000000000000001E-2</v>
      </c>
      <c r="W88" s="2"/>
      <c r="X88" s="6">
        <f t="shared" si="74"/>
        <v>-120</v>
      </c>
      <c r="Y88" s="2"/>
      <c r="Z88" s="7">
        <f t="shared" si="75"/>
        <v>-1</v>
      </c>
    </row>
    <row r="89" spans="1:26" s="29" customFormat="1" outlineLevel="1" collapsed="1" x14ac:dyDescent="0.25">
      <c r="A89" s="28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SUM(OSRRefD22_18x_0)</f>
        <v>50</v>
      </c>
      <c r="E89" s="1"/>
      <c r="F89" s="5">
        <f t="shared" si="68"/>
        <v>6.0679611650485438E-2</v>
      </c>
      <c r="G89" s="1"/>
      <c r="H89" s="1">
        <f>SUM(OSRRefH22_18x_0)</f>
        <v>50</v>
      </c>
      <c r="I89" s="1"/>
      <c r="J89" s="5">
        <f t="shared" si="69"/>
        <v>1.0526315789473684E-2</v>
      </c>
      <c r="K89" s="1"/>
      <c r="L89" s="1">
        <f t="shared" si="70"/>
        <v>0</v>
      </c>
      <c r="M89" s="1"/>
      <c r="N89" s="5">
        <f t="shared" si="71"/>
        <v>0</v>
      </c>
      <c r="O89" s="14"/>
      <c r="P89" s="1">
        <f>SUM(OSRRefP22_18x_0)</f>
        <v>100</v>
      </c>
      <c r="Q89" s="1"/>
      <c r="R89" s="5">
        <f t="shared" si="72"/>
        <v>0.12135922330097088</v>
      </c>
      <c r="S89" s="1"/>
      <c r="T89" s="1">
        <f>SUM(OSRRefT22_18x_0)</f>
        <v>871</v>
      </c>
      <c r="U89" s="1"/>
      <c r="V89" s="5">
        <f t="shared" si="73"/>
        <v>0.18145833333333333</v>
      </c>
      <c r="W89" s="1"/>
      <c r="X89" s="1">
        <f t="shared" si="74"/>
        <v>-771</v>
      </c>
      <c r="Y89" s="1"/>
      <c r="Z89" s="5">
        <f t="shared" si="75"/>
        <v>-0.88518943742824341</v>
      </c>
    </row>
    <row r="90" spans="1:26" s="24" customFormat="1" hidden="1" outlineLevel="2" x14ac:dyDescent="0.25">
      <c r="A90" s="27"/>
      <c r="B90" s="11" t="str">
        <f>CONCATENATE("          ", "6274", " - ", "UTILITIES")</f>
        <v xml:space="preserve">          6274 - UTILITIES</v>
      </c>
      <c r="C90" s="11"/>
      <c r="D90" s="6">
        <v>50</v>
      </c>
      <c r="E90" s="2"/>
      <c r="F90" s="7">
        <f t="shared" si="68"/>
        <v>6.0679611650485438E-2</v>
      </c>
      <c r="G90" s="2"/>
      <c r="H90" s="6">
        <v>50</v>
      </c>
      <c r="I90" s="2"/>
      <c r="J90" s="7">
        <f t="shared" si="69"/>
        <v>1.0526315789473684E-2</v>
      </c>
      <c r="K90" s="2"/>
      <c r="L90" s="6">
        <f t="shared" si="70"/>
        <v>0</v>
      </c>
      <c r="M90" s="2"/>
      <c r="N90" s="7">
        <f t="shared" si="71"/>
        <v>0</v>
      </c>
      <c r="O90" s="11"/>
      <c r="P90" s="6">
        <v>100</v>
      </c>
      <c r="Q90" s="2"/>
      <c r="R90" s="7">
        <f t="shared" si="72"/>
        <v>0.12135922330097088</v>
      </c>
      <c r="S90" s="2"/>
      <c r="T90" s="6">
        <v>871</v>
      </c>
      <c r="U90" s="2"/>
      <c r="V90" s="7">
        <f t="shared" si="73"/>
        <v>0.18145833333333333</v>
      </c>
      <c r="W90" s="2"/>
      <c r="X90" s="6">
        <f t="shared" si="74"/>
        <v>-771</v>
      </c>
      <c r="Y90" s="2"/>
      <c r="Z90" s="7">
        <f t="shared" si="75"/>
        <v>-0.88518943742824341</v>
      </c>
    </row>
    <row r="91" spans="1:26" s="61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2" customFormat="1" x14ac:dyDescent="0.25">
      <c r="A92" s="10"/>
      <c r="B92" s="25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2" customFormat="1" x14ac:dyDescent="0.25">
      <c r="A94" s="10"/>
      <c r="B94" s="26" t="s">
        <v>3</v>
      </c>
      <c r="C94" s="26"/>
      <c r="D94" s="21">
        <f>+D23-D25+D92</f>
        <v>-27111.89</v>
      </c>
      <c r="E94" s="13"/>
      <c r="F94" s="20">
        <f>IF(D$12=0,0,D94/D$12)</f>
        <v>-32.902779126213595</v>
      </c>
      <c r="G94" s="13"/>
      <c r="H94" s="21">
        <f>+H23-H25+H92</f>
        <v>-41825.650782099998</v>
      </c>
      <c r="I94" s="13"/>
      <c r="J94" s="20">
        <f>IF(H$12=0,0,H94/H$12)</f>
        <v>-8.8054001646526316</v>
      </c>
      <c r="K94" s="16"/>
      <c r="L94" s="21">
        <f>+D94-H94</f>
        <v>14713.760782099998</v>
      </c>
      <c r="M94" s="16"/>
      <c r="N94" s="20">
        <f>IF(H94=0,0,L94/H94)</f>
        <v>-0.35178796998890938</v>
      </c>
      <c r="O94" s="25"/>
      <c r="P94" s="21">
        <f>+P23-P25+P92</f>
        <v>-62160.100000000006</v>
      </c>
      <c r="Q94" s="13"/>
      <c r="R94" s="20">
        <f>IF(P$12=0,0,P94/P$12)</f>
        <v>-75.4370145631068</v>
      </c>
      <c r="S94" s="13"/>
      <c r="T94" s="21">
        <f>+T23-T25+T92</f>
        <v>-79818.632507100003</v>
      </c>
      <c r="U94" s="13"/>
      <c r="V94" s="20">
        <f>IF(T$12=0,0,T94/T$12)</f>
        <v>-16.6288817723125</v>
      </c>
      <c r="W94" s="16"/>
      <c r="X94" s="21">
        <f>+P94-T94</f>
        <v>17658.532507099997</v>
      </c>
      <c r="Y94" s="16"/>
      <c r="Z94" s="20">
        <f>IF(T94=0,0,X94/T94)</f>
        <v>-0.22123321275304034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2" customFormat="1" x14ac:dyDescent="0.25">
      <c r="A96" s="52"/>
      <c r="B96" s="10" t="s">
        <v>14</v>
      </c>
      <c r="C96" s="10"/>
      <c r="D96" s="4">
        <v>139.12</v>
      </c>
      <c r="E96" s="4"/>
      <c r="F96" s="12">
        <f>IF(D$12=0,0,D96/D$12)</f>
        <v>0.16883495145631069</v>
      </c>
      <c r="G96" s="4"/>
      <c r="H96" s="4">
        <v>760</v>
      </c>
      <c r="I96" s="4"/>
      <c r="J96" s="12">
        <f>IF(H$12=0,0,H96/H$12)</f>
        <v>0.16</v>
      </c>
      <c r="K96" s="4"/>
      <c r="L96" s="4">
        <f>+D96-H96</f>
        <v>-620.88</v>
      </c>
      <c r="M96" s="4"/>
      <c r="N96" s="12">
        <f>IF(H96=0,0,L96/H96)</f>
        <v>-0.81694736842105264</v>
      </c>
      <c r="O96" s="10"/>
      <c r="P96" s="4">
        <v>139.12</v>
      </c>
      <c r="Q96" s="4"/>
      <c r="R96" s="12">
        <f>IF(P$12=0,0,P96/P$12)</f>
        <v>0.16883495145631069</v>
      </c>
      <c r="S96" s="4"/>
      <c r="T96" s="4">
        <v>784</v>
      </c>
      <c r="U96" s="4"/>
      <c r="V96" s="12">
        <f>IF(T$12=0,0,T96/T$12)</f>
        <v>0.16333333333333333</v>
      </c>
      <c r="W96" s="4"/>
      <c r="X96" s="4">
        <f>+P96-T96</f>
        <v>-644.88</v>
      </c>
      <c r="Y96" s="4"/>
      <c r="Z96" s="12">
        <f>IF(T96=0,0,X96/T96)</f>
        <v>-0.8225510204081633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2" customFormat="1" ht="15.75" thickBot="1" x14ac:dyDescent="0.3">
      <c r="A98" s="10"/>
      <c r="B98" s="26" t="s">
        <v>4</v>
      </c>
      <c r="C98" s="26"/>
      <c r="D98" s="33">
        <f>+D94-D96</f>
        <v>-27251.01</v>
      </c>
      <c r="E98" s="13"/>
      <c r="F98" s="31">
        <f>IF(D$12=0,0,D98/D$12)</f>
        <v>-33.071614077669899</v>
      </c>
      <c r="G98" s="13"/>
      <c r="H98" s="33">
        <f>+H94-H96</f>
        <v>-42585.650782099998</v>
      </c>
      <c r="I98" s="13"/>
      <c r="J98" s="31">
        <f>IF(H$12=0,0,H98/H$12)</f>
        <v>-8.9654001646526318</v>
      </c>
      <c r="K98" s="16"/>
      <c r="L98" s="33">
        <f>D98-H98</f>
        <v>15334.640782099999</v>
      </c>
      <c r="M98" s="16"/>
      <c r="N98" s="31">
        <f>IF(H98=0,0,L98/H98)</f>
        <v>-0.36008938458081752</v>
      </c>
      <c r="O98" s="25"/>
      <c r="P98" s="33">
        <f>+P94-P96</f>
        <v>-62299.220000000008</v>
      </c>
      <c r="Q98" s="13"/>
      <c r="R98" s="31">
        <f>IF(P$12=0,0,P98/P$12)</f>
        <v>-75.605849514563118</v>
      </c>
      <c r="S98" s="13"/>
      <c r="T98" s="33">
        <f>+T94-T96</f>
        <v>-80602.632507100003</v>
      </c>
      <c r="U98" s="13"/>
      <c r="V98" s="31">
        <f>IF(T$12=0,0,T98/T$12)</f>
        <v>-16.792215105645834</v>
      </c>
      <c r="W98" s="16"/>
      <c r="X98" s="33">
        <f>P98-T98</f>
        <v>18303.412507099994</v>
      </c>
      <c r="Y98" s="16"/>
      <c r="Z98" s="31">
        <f>IF(T98=0,0,X98/T98)</f>
        <v>-0.22708206838638564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2" customFormat="1" ht="15.75" thickBot="1" x14ac:dyDescent="0.3">
      <c r="A101" s="10"/>
      <c r="B101" s="26" t="s">
        <v>5</v>
      </c>
      <c r="C101" s="26"/>
      <c r="D101" s="32">
        <f>SUM(D98:D100)</f>
        <v>-27251.01</v>
      </c>
      <c r="E101" s="13"/>
      <c r="F101" s="35">
        <f>IF(D$12=0,0,D101/D$12)</f>
        <v>-33.071614077669899</v>
      </c>
      <c r="G101" s="13"/>
      <c r="H101" s="32">
        <f>SUM(H98:H100)</f>
        <v>-42585.650782099998</v>
      </c>
      <c r="I101" s="13"/>
      <c r="J101" s="35">
        <f>IF(H$12=0,0,H101/H$12)</f>
        <v>-8.9654001646526318</v>
      </c>
      <c r="K101" s="16"/>
      <c r="L101" s="32">
        <f>+D101-H101</f>
        <v>15334.640782099999</v>
      </c>
      <c r="M101" s="16"/>
      <c r="N101" s="35">
        <f>IF(H101=0,0,L101/H101)</f>
        <v>-0.36008938458081752</v>
      </c>
      <c r="O101" s="25"/>
      <c r="P101" s="32">
        <f>SUM(P98:P100)</f>
        <v>-62299.220000000008</v>
      </c>
      <c r="Q101" s="13"/>
      <c r="R101" s="35">
        <f>IF(P$12=0,0,P101/P$12)</f>
        <v>-75.605849514563118</v>
      </c>
      <c r="S101" s="13"/>
      <c r="T101" s="32">
        <f>SUM(T98:T100)</f>
        <v>-80602.632507100003</v>
      </c>
      <c r="U101" s="13"/>
      <c r="V101" s="35">
        <f>IF(T$12=0,0,T101/T$12)</f>
        <v>-16.792215105645834</v>
      </c>
      <c r="W101" s="16"/>
      <c r="X101" s="32">
        <f>+P101-T101</f>
        <v>18303.412507099994</v>
      </c>
      <c r="Y101" s="16"/>
      <c r="Z101" s="35">
        <f>IF(T101=0,0,X101/T101)</f>
        <v>-0.22708206838638564</v>
      </c>
    </row>
    <row r="102" spans="1:26" ht="15.75" thickTop="1" x14ac:dyDescent="0.25">
      <c r="A102" s="9"/>
      <c r="C102" s="9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9">
        <v>44113.688939432868</v>
      </c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A104" s="9"/>
      <c r="B104" s="62" t="s">
        <v>314</v>
      </c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3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","309", " - ", "Carts")</f>
        <v>Department 309 - Carts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0</v>
      </c>
      <c r="E17" s="13"/>
      <c r="F17" s="20">
        <f>IF(D$12=0,0,D17/D$12)</f>
        <v>0</v>
      </c>
      <c r="G17" s="13"/>
      <c r="H17" s="21">
        <f>H12-H15</f>
        <v>0</v>
      </c>
      <c r="I17" s="13"/>
      <c r="J17" s="20">
        <f>IF(H$12=0,0,H17/H$12)</f>
        <v>0</v>
      </c>
      <c r="K17" s="16"/>
      <c r="L17" s="21">
        <f>+D17-H17</f>
        <v>0</v>
      </c>
      <c r="M17" s="16"/>
      <c r="N17" s="20">
        <f>IF(H17=0,0,L17/H17)</f>
        <v>0</v>
      </c>
      <c r="O17" s="25"/>
      <c r="P17" s="21">
        <f>P12-P15</f>
        <v>0</v>
      </c>
      <c r="Q17" s="13"/>
      <c r="R17" s="20">
        <f>IF(P$12=0,0,P17/P$12)</f>
        <v>0</v>
      </c>
      <c r="S17" s="13"/>
      <c r="T17" s="21">
        <f>T12-T15</f>
        <v>0</v>
      </c>
      <c r="U17" s="13"/>
      <c r="V17" s="20">
        <f>IF(T$12=0,0,T17/T$12)</f>
        <v>0</v>
      </c>
      <c r="W17" s="16"/>
      <c r="X17" s="21">
        <f>+P17-T17</f>
        <v>0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603.72</v>
      </c>
      <c r="E19" s="19"/>
      <c r="F19" s="30">
        <f t="shared" ref="F19:F28" si="4">IF(D$12=0,0,D19/D$12)</f>
        <v>0</v>
      </c>
      <c r="G19" s="19"/>
      <c r="H19" s="19">
        <f>SUM(OSRRefH22x_0)</f>
        <v>0</v>
      </c>
      <c r="I19" s="19"/>
      <c r="J19" s="30">
        <f t="shared" ref="J19:J28" si="5">IF(H$12=0,0,H19/H$12)</f>
        <v>0</v>
      </c>
      <c r="K19" s="4"/>
      <c r="L19" s="19">
        <f t="shared" ref="L19:L28" si="6">+D19-H19</f>
        <v>603.72</v>
      </c>
      <c r="M19" s="4"/>
      <c r="N19" s="30">
        <f t="shared" ref="N19:N28" si="7">IF(H19=0,0,L19/H19)</f>
        <v>0</v>
      </c>
      <c r="O19" s="10"/>
      <c r="P19" s="19">
        <f>SUM(OSRRefP22x_0)</f>
        <v>951.12</v>
      </c>
      <c r="Q19" s="19"/>
      <c r="R19" s="30">
        <f t="shared" ref="R19:R28" si="8">IF(P$12=0,0,P19/P$12)</f>
        <v>0</v>
      </c>
      <c r="S19" s="19"/>
      <c r="T19" s="19">
        <f>SUM(OSRRefT22x_0)</f>
        <v>0</v>
      </c>
      <c r="U19" s="19"/>
      <c r="V19" s="30">
        <f t="shared" ref="V19:V28" si="9">IF(T$12=0,0,T19/T$12)</f>
        <v>0</v>
      </c>
      <c r="W19" s="4"/>
      <c r="X19" s="19">
        <f t="shared" ref="X19:X28" si="10">+P19-T19</f>
        <v>951.12</v>
      </c>
      <c r="Y19" s="4"/>
      <c r="Z19" s="30">
        <f t="shared" ref="Z19:Z28" si="11">IF(T19=0,0,X19/T19)</f>
        <v>0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0</v>
      </c>
      <c r="U20" s="1"/>
      <c r="V20" s="5">
        <f t="shared" si="9"/>
        <v>0</v>
      </c>
      <c r="W20" s="1"/>
      <c r="X20" s="1">
        <f t="shared" si="10"/>
        <v>0</v>
      </c>
      <c r="Y20" s="1"/>
      <c r="Z20" s="5">
        <f t="shared" si="11"/>
        <v>0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4"/>
        <v>0</v>
      </c>
      <c r="G21" s="2"/>
      <c r="H21" s="6">
        <v>0</v>
      </c>
      <c r="I21" s="2"/>
      <c r="J21" s="7">
        <f t="shared" si="5"/>
        <v>0</v>
      </c>
      <c r="K21" s="2"/>
      <c r="L21" s="6">
        <f t="shared" si="6"/>
        <v>0</v>
      </c>
      <c r="M21" s="2"/>
      <c r="N21" s="7">
        <f t="shared" si="7"/>
        <v>0</v>
      </c>
      <c r="O21" s="11"/>
      <c r="P21" s="6"/>
      <c r="Q21" s="2"/>
      <c r="R21" s="7">
        <f t="shared" si="8"/>
        <v>0</v>
      </c>
      <c r="S21" s="2"/>
      <c r="T21" s="6">
        <v>0</v>
      </c>
      <c r="U21" s="2"/>
      <c r="V21" s="7">
        <f t="shared" si="9"/>
        <v>0</v>
      </c>
      <c r="W21" s="2"/>
      <c r="X21" s="6">
        <f t="shared" si="10"/>
        <v>0</v>
      </c>
      <c r="Y21" s="2"/>
      <c r="Z21" s="7">
        <f t="shared" si="11"/>
        <v>0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4"/>
        <v>0</v>
      </c>
      <c r="G22" s="2"/>
      <c r="H22" s="6">
        <v>0</v>
      </c>
      <c r="I22" s="2"/>
      <c r="J22" s="7">
        <f t="shared" si="5"/>
        <v>0</v>
      </c>
      <c r="K22" s="2"/>
      <c r="L22" s="6">
        <f t="shared" si="6"/>
        <v>0</v>
      </c>
      <c r="M22" s="2"/>
      <c r="N22" s="7">
        <f t="shared" si="7"/>
        <v>0</v>
      </c>
      <c r="O22" s="11"/>
      <c r="P22" s="6"/>
      <c r="Q22" s="2"/>
      <c r="R22" s="7">
        <f t="shared" si="8"/>
        <v>0</v>
      </c>
      <c r="S22" s="2"/>
      <c r="T22" s="6">
        <v>0</v>
      </c>
      <c r="U22" s="2"/>
      <c r="V22" s="7">
        <f t="shared" si="9"/>
        <v>0</v>
      </c>
      <c r="W22" s="2"/>
      <c r="X22" s="6">
        <f t="shared" si="10"/>
        <v>0</v>
      </c>
      <c r="Y22" s="2"/>
      <c r="Z22" s="7">
        <f t="shared" si="11"/>
        <v>0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4"/>
        <v>0</v>
      </c>
      <c r="G23" s="2"/>
      <c r="H23" s="6">
        <v>0</v>
      </c>
      <c r="I23" s="2"/>
      <c r="J23" s="7">
        <f t="shared" si="5"/>
        <v>0</v>
      </c>
      <c r="K23" s="2"/>
      <c r="L23" s="6">
        <f t="shared" si="6"/>
        <v>0</v>
      </c>
      <c r="M23" s="2"/>
      <c r="N23" s="7">
        <f t="shared" si="7"/>
        <v>0</v>
      </c>
      <c r="O23" s="11"/>
      <c r="P23" s="6"/>
      <c r="Q23" s="2"/>
      <c r="R23" s="7">
        <f t="shared" si="8"/>
        <v>0</v>
      </c>
      <c r="S23" s="2"/>
      <c r="T23" s="6">
        <v>0</v>
      </c>
      <c r="U23" s="2"/>
      <c r="V23" s="7">
        <f t="shared" si="9"/>
        <v>0</v>
      </c>
      <c r="W23" s="2"/>
      <c r="X23" s="6">
        <f t="shared" si="10"/>
        <v>0</v>
      </c>
      <c r="Y23" s="2"/>
      <c r="Z23" s="7">
        <f t="shared" si="11"/>
        <v>0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4"/>
        <v>0</v>
      </c>
      <c r="G24" s="2"/>
      <c r="H24" s="6">
        <v>0</v>
      </c>
      <c r="I24" s="2"/>
      <c r="J24" s="7">
        <f t="shared" si="5"/>
        <v>0</v>
      </c>
      <c r="K24" s="2"/>
      <c r="L24" s="6">
        <f t="shared" si="6"/>
        <v>0</v>
      </c>
      <c r="M24" s="2"/>
      <c r="N24" s="7">
        <f t="shared" si="7"/>
        <v>0</v>
      </c>
      <c r="O24" s="11"/>
      <c r="P24" s="6"/>
      <c r="Q24" s="2"/>
      <c r="R24" s="7">
        <f t="shared" si="8"/>
        <v>0</v>
      </c>
      <c r="S24" s="2"/>
      <c r="T24" s="6">
        <v>0</v>
      </c>
      <c r="U24" s="2"/>
      <c r="V24" s="7">
        <f t="shared" si="9"/>
        <v>0</v>
      </c>
      <c r="W24" s="2"/>
      <c r="X24" s="6">
        <f t="shared" si="10"/>
        <v>0</v>
      </c>
      <c r="Y24" s="2"/>
      <c r="Z24" s="7">
        <f t="shared" si="11"/>
        <v>0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4"/>
        <v>0</v>
      </c>
      <c r="G25" s="2"/>
      <c r="H25" s="6">
        <v>0</v>
      </c>
      <c r="I25" s="2"/>
      <c r="J25" s="7">
        <f t="shared" si="5"/>
        <v>0</v>
      </c>
      <c r="K25" s="2"/>
      <c r="L25" s="6">
        <f t="shared" si="6"/>
        <v>0</v>
      </c>
      <c r="M25" s="2"/>
      <c r="N25" s="7">
        <f t="shared" si="7"/>
        <v>0</v>
      </c>
      <c r="O25" s="11"/>
      <c r="P25" s="6"/>
      <c r="Q25" s="2"/>
      <c r="R25" s="7">
        <f t="shared" si="8"/>
        <v>0</v>
      </c>
      <c r="S25" s="2"/>
      <c r="T25" s="6">
        <v>0</v>
      </c>
      <c r="U25" s="2"/>
      <c r="V25" s="7">
        <f t="shared" si="9"/>
        <v>0</v>
      </c>
      <c r="W25" s="2"/>
      <c r="X25" s="6">
        <f t="shared" si="10"/>
        <v>0</v>
      </c>
      <c r="Y25" s="2"/>
      <c r="Z25" s="7">
        <f t="shared" si="11"/>
        <v>0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/>
      <c r="E27" s="2"/>
      <c r="F27" s="7">
        <f t="shared" si="4"/>
        <v>0</v>
      </c>
      <c r="G27" s="2"/>
      <c r="H27" s="6">
        <v>0</v>
      </c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0</v>
      </c>
      <c r="U27" s="2"/>
      <c r="V27" s="7">
        <f t="shared" si="9"/>
        <v>0</v>
      </c>
      <c r="W27" s="2"/>
      <c r="X27" s="6">
        <f t="shared" si="10"/>
        <v>0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/>
      <c r="E28" s="2"/>
      <c r="F28" s="7">
        <f t="shared" si="4"/>
        <v>0</v>
      </c>
      <c r="G28" s="2"/>
      <c r="H28" s="6">
        <v>0</v>
      </c>
      <c r="I28" s="2"/>
      <c r="J28" s="7">
        <f t="shared" si="5"/>
        <v>0</v>
      </c>
      <c r="K28" s="2"/>
      <c r="L28" s="6">
        <f t="shared" si="6"/>
        <v>0</v>
      </c>
      <c r="M28" s="2"/>
      <c r="N28" s="7">
        <f t="shared" si="7"/>
        <v>0</v>
      </c>
      <c r="O28" s="11"/>
      <c r="P28" s="6"/>
      <c r="Q28" s="2"/>
      <c r="R28" s="7">
        <f t="shared" si="8"/>
        <v>0</v>
      </c>
      <c r="S28" s="2"/>
      <c r="T28" s="6">
        <v>0</v>
      </c>
      <c r="U28" s="2"/>
      <c r="V28" s="7">
        <f t="shared" si="9"/>
        <v>0</v>
      </c>
      <c r="W28" s="2"/>
      <c r="X28" s="6">
        <f t="shared" si="10"/>
        <v>0</v>
      </c>
      <c r="Y28" s="2"/>
      <c r="Z28" s="7">
        <f t="shared" si="11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9" si="12">IF(D$12=0,0,D29/D$12)</f>
        <v>0</v>
      </c>
      <c r="G29" s="1"/>
      <c r="H29" s="1">
        <f>SUM(OSRRefH22_1x_0)</f>
        <v>0</v>
      </c>
      <c r="I29" s="1"/>
      <c r="J29" s="5">
        <f t="shared" ref="J29:J39" si="13">IF(H$12=0,0,H29/H$12)</f>
        <v>0</v>
      </c>
      <c r="K29" s="1"/>
      <c r="L29" s="1">
        <f t="shared" ref="L29:L39" si="14">+D29-H29</f>
        <v>0</v>
      </c>
      <c r="M29" s="1"/>
      <c r="N29" s="5">
        <f t="shared" ref="N29:N39" si="15">IF(H29=0,0,L29/H29)</f>
        <v>0</v>
      </c>
      <c r="O29" s="14"/>
      <c r="P29" s="1">
        <f>SUM(OSRRefP22_1x_0)</f>
        <v>0</v>
      </c>
      <c r="Q29" s="1"/>
      <c r="R29" s="5">
        <f t="shared" ref="R29:R39" si="16">IF(P$12=0,0,P29/P$12)</f>
        <v>0</v>
      </c>
      <c r="S29" s="1"/>
      <c r="T29" s="1">
        <f>SUM(OSRRefT22_1x_0)</f>
        <v>0</v>
      </c>
      <c r="U29" s="1"/>
      <c r="V29" s="5">
        <f t="shared" ref="V29:V39" si="17">IF(T$12=0,0,T29/T$12)</f>
        <v>0</v>
      </c>
      <c r="W29" s="1"/>
      <c r="X29" s="1">
        <f t="shared" ref="X29:X39" si="18">+P29-T29</f>
        <v>0</v>
      </c>
      <c r="Y29" s="1"/>
      <c r="Z29" s="5">
        <f t="shared" ref="Z29:Z39" si="19">IF(T29=0,0,X29/T29)</f>
        <v>0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9" customFormat="1" outlineLevel="1" collapsed="1" x14ac:dyDescent="0.25">
      <c r="A40" s="28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SUM(OSRRefD22_2x_0)</f>
        <v>596.69000000000005</v>
      </c>
      <c r="E40" s="1"/>
      <c r="F40" s="5">
        <f t="shared" ref="F40:F46" si="20">IF(D$12=0,0,D40/D$12)</f>
        <v>0</v>
      </c>
      <c r="G40" s="1"/>
      <c r="H40" s="1">
        <f>SUM(OSRRefH22_2x_0)</f>
        <v>0</v>
      </c>
      <c r="I40" s="1"/>
      <c r="J40" s="5">
        <f t="shared" ref="J40:J46" si="21">IF(H$12=0,0,H40/H$12)</f>
        <v>0</v>
      </c>
      <c r="K40" s="1"/>
      <c r="L40" s="1">
        <f t="shared" ref="L40:L46" si="22">+D40-H40</f>
        <v>596.69000000000005</v>
      </c>
      <c r="M40" s="1"/>
      <c r="N40" s="5">
        <f t="shared" ref="N40:N46" si="23">IF(H40=0,0,L40/H40)</f>
        <v>0</v>
      </c>
      <c r="O40" s="14"/>
      <c r="P40" s="1">
        <f>SUM(OSRRefP22_2x_0)</f>
        <v>912.12</v>
      </c>
      <c r="Q40" s="1"/>
      <c r="R40" s="5">
        <f t="shared" ref="R40:R46" si="24">IF(P$12=0,0,P40/P$12)</f>
        <v>0</v>
      </c>
      <c r="S40" s="1"/>
      <c r="T40" s="1">
        <f>SUM(OSRRefT22_2x_0)</f>
        <v>0</v>
      </c>
      <c r="U40" s="1"/>
      <c r="V40" s="5">
        <f t="shared" ref="V40:V46" si="25">IF(T$12=0,0,T40/T$12)</f>
        <v>0</v>
      </c>
      <c r="W40" s="1"/>
      <c r="X40" s="1">
        <f t="shared" ref="X40:X46" si="26">+P40-T40</f>
        <v>912.12</v>
      </c>
      <c r="Y40" s="1"/>
      <c r="Z40" s="5">
        <f t="shared" ref="Z40:Z46" si="27">IF(T40=0,0,X40/T40)</f>
        <v>0</v>
      </c>
    </row>
    <row r="41" spans="1:26" s="24" customFormat="1" hidden="1" outlineLevel="2" x14ac:dyDescent="0.25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6">
        <v>596.69000000000005</v>
      </c>
      <c r="E41" s="2"/>
      <c r="F41" s="7">
        <f t="shared" si="20"/>
        <v>0</v>
      </c>
      <c r="G41" s="2"/>
      <c r="H41" s="6"/>
      <c r="I41" s="2"/>
      <c r="J41" s="7">
        <f t="shared" si="21"/>
        <v>0</v>
      </c>
      <c r="K41" s="2"/>
      <c r="L41" s="6">
        <f t="shared" si="22"/>
        <v>596.69000000000005</v>
      </c>
      <c r="M41" s="2"/>
      <c r="N41" s="7">
        <f t="shared" si="23"/>
        <v>0</v>
      </c>
      <c r="O41" s="11"/>
      <c r="P41" s="6">
        <v>912.12</v>
      </c>
      <c r="Q41" s="2"/>
      <c r="R41" s="7">
        <f t="shared" si="24"/>
        <v>0</v>
      </c>
      <c r="S41" s="2"/>
      <c r="T41" s="6"/>
      <c r="U41" s="2"/>
      <c r="V41" s="7">
        <f t="shared" si="25"/>
        <v>0</v>
      </c>
      <c r="W41" s="2"/>
      <c r="X41" s="6">
        <f t="shared" si="26"/>
        <v>912.12</v>
      </c>
      <c r="Y41" s="2"/>
      <c r="Z41" s="7">
        <f t="shared" si="27"/>
        <v>0</v>
      </c>
    </row>
    <row r="42" spans="1:26" s="29" customFormat="1" outlineLevel="1" collapsed="1" x14ac:dyDescent="0.25">
      <c r="A42" s="28"/>
      <c r="B42" s="14" t="str">
        <f>CONCATENATE("     ","General                                           ")</f>
        <v xml:space="preserve">     General                                           </v>
      </c>
      <c r="C42" s="14"/>
      <c r="D42" s="1">
        <f>SUM(OSRRefD22_3x_0)</f>
        <v>0</v>
      </c>
      <c r="E42" s="1"/>
      <c r="F42" s="5">
        <f t="shared" si="20"/>
        <v>0</v>
      </c>
      <c r="G42" s="1"/>
      <c r="H42" s="1">
        <f>SUM(OSRRefH22_3x_0)</f>
        <v>0</v>
      </c>
      <c r="I42" s="1"/>
      <c r="J42" s="5">
        <f t="shared" si="21"/>
        <v>0</v>
      </c>
      <c r="K42" s="1"/>
      <c r="L42" s="1">
        <f t="shared" si="22"/>
        <v>0</v>
      </c>
      <c r="M42" s="1"/>
      <c r="N42" s="5">
        <f t="shared" si="23"/>
        <v>0</v>
      </c>
      <c r="O42" s="14"/>
      <c r="P42" s="1">
        <f>SUM(OSRRefP22_3x_0)</f>
        <v>0</v>
      </c>
      <c r="Q42" s="1"/>
      <c r="R42" s="5">
        <f t="shared" si="24"/>
        <v>0</v>
      </c>
      <c r="S42" s="1"/>
      <c r="T42" s="1">
        <f>SUM(OSRRefT22_3x_0)</f>
        <v>0</v>
      </c>
      <c r="U42" s="1"/>
      <c r="V42" s="5">
        <f t="shared" si="25"/>
        <v>0</v>
      </c>
      <c r="W42" s="1"/>
      <c r="X42" s="1">
        <f t="shared" si="26"/>
        <v>0</v>
      </c>
      <c r="Y42" s="1"/>
      <c r="Z42" s="5">
        <f t="shared" si="27"/>
        <v>0</v>
      </c>
    </row>
    <row r="43" spans="1:26" s="24" customFormat="1" hidden="1" outlineLevel="2" x14ac:dyDescent="0.25">
      <c r="A43" s="27"/>
      <c r="B43" s="11" t="str">
        <f>CONCATENATE("          ", "6279", " - ", "GENERAL EXPENSE")</f>
        <v xml:space="preserve">          6279 - GENERAL EXPENSE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9" customFormat="1" outlineLevel="1" collapsed="1" x14ac:dyDescent="0.25">
      <c r="A44" s="28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117.9</v>
      </c>
      <c r="E44" s="1"/>
      <c r="F44" s="5">
        <f t="shared" si="20"/>
        <v>0</v>
      </c>
      <c r="G44" s="1"/>
      <c r="H44" s="1">
        <f>SUM(OSRRefH22_4x_0)</f>
        <v>0</v>
      </c>
      <c r="I44" s="1"/>
      <c r="J44" s="5">
        <f t="shared" si="21"/>
        <v>0</v>
      </c>
      <c r="K44" s="1"/>
      <c r="L44" s="1">
        <f t="shared" si="22"/>
        <v>117.9</v>
      </c>
      <c r="M44" s="1"/>
      <c r="N44" s="5">
        <f t="shared" si="23"/>
        <v>0</v>
      </c>
      <c r="O44" s="14"/>
      <c r="P44" s="1">
        <f>SUM(OSRRefP22_4x_0)</f>
        <v>231.9</v>
      </c>
      <c r="Q44" s="1"/>
      <c r="R44" s="5">
        <f t="shared" si="24"/>
        <v>0</v>
      </c>
      <c r="S44" s="1"/>
      <c r="T44" s="1">
        <f>SUM(OSRRefT22_4x_0)</f>
        <v>0</v>
      </c>
      <c r="U44" s="1"/>
      <c r="V44" s="5">
        <f t="shared" si="25"/>
        <v>0</v>
      </c>
      <c r="W44" s="1"/>
      <c r="X44" s="1">
        <f t="shared" si="26"/>
        <v>231.9</v>
      </c>
      <c r="Y44" s="1"/>
      <c r="Z44" s="5">
        <f t="shared" si="27"/>
        <v>0</v>
      </c>
    </row>
    <row r="45" spans="1:26" s="24" customFormat="1" hidden="1" outlineLevel="2" x14ac:dyDescent="0.25">
      <c r="A45" s="27"/>
      <c r="B45" s="11" t="str">
        <f>CONCATENATE("          ", "6373", " - ", "MAINTENANCE CONTRACTS")</f>
        <v xml:space="preserve">          6373 - MAINTENANCE CONTRACTS</v>
      </c>
      <c r="C45" s="11"/>
      <c r="D45" s="6">
        <v>117.9</v>
      </c>
      <c r="E45" s="2"/>
      <c r="F45" s="7">
        <f t="shared" si="20"/>
        <v>0</v>
      </c>
      <c r="G45" s="2"/>
      <c r="H45" s="6"/>
      <c r="I45" s="2"/>
      <c r="J45" s="7">
        <f t="shared" si="21"/>
        <v>0</v>
      </c>
      <c r="K45" s="2"/>
      <c r="L45" s="6">
        <f t="shared" si="22"/>
        <v>117.9</v>
      </c>
      <c r="M45" s="2"/>
      <c r="N45" s="7">
        <f t="shared" si="23"/>
        <v>0</v>
      </c>
      <c r="O45" s="11"/>
      <c r="P45" s="6">
        <v>117.9</v>
      </c>
      <c r="Q45" s="2"/>
      <c r="R45" s="7">
        <f t="shared" si="24"/>
        <v>0</v>
      </c>
      <c r="S45" s="2"/>
      <c r="T45" s="6"/>
      <c r="U45" s="2"/>
      <c r="V45" s="7">
        <f t="shared" si="25"/>
        <v>0</v>
      </c>
      <c r="W45" s="2"/>
      <c r="X45" s="6">
        <f t="shared" si="26"/>
        <v>117.9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114</v>
      </c>
      <c r="Q46" s="2"/>
      <c r="R46" s="7">
        <f t="shared" si="24"/>
        <v>0</v>
      </c>
      <c r="S46" s="2"/>
      <c r="T46" s="6"/>
      <c r="U46" s="2"/>
      <c r="V46" s="7">
        <f t="shared" si="25"/>
        <v>0</v>
      </c>
      <c r="W46" s="2"/>
      <c r="X46" s="6">
        <f t="shared" si="26"/>
        <v>114</v>
      </c>
      <c r="Y46" s="2"/>
      <c r="Z46" s="7">
        <f t="shared" si="27"/>
        <v>0</v>
      </c>
    </row>
    <row r="47" spans="1:26" s="29" customFormat="1" outlineLevel="1" collapsed="1" x14ac:dyDescent="0.25">
      <c r="A47" s="28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-201.88</v>
      </c>
      <c r="E47" s="1"/>
      <c r="F47" s="5">
        <f t="shared" ref="F47:F49" si="28">IF(D$12=0,0,D47/D$12)</f>
        <v>0</v>
      </c>
      <c r="G47" s="1"/>
      <c r="H47" s="1">
        <f>SUM(OSRRefH22_5x_0)</f>
        <v>0</v>
      </c>
      <c r="I47" s="1"/>
      <c r="J47" s="5">
        <f t="shared" ref="J47:J49" si="29">IF(H$12=0,0,H47/H$12)</f>
        <v>0</v>
      </c>
      <c r="K47" s="1"/>
      <c r="L47" s="1">
        <f t="shared" ref="L47:L49" si="30">+D47-H47</f>
        <v>-201.88</v>
      </c>
      <c r="M47" s="1"/>
      <c r="N47" s="5">
        <f t="shared" ref="N47:N49" si="31">IF(H47=0,0,L47/H47)</f>
        <v>0</v>
      </c>
      <c r="O47" s="14"/>
      <c r="P47" s="1">
        <f>SUM(OSRRefP22_5x_0)</f>
        <v>-374.91999999999996</v>
      </c>
      <c r="Q47" s="1"/>
      <c r="R47" s="5">
        <f t="shared" ref="R47:R49" si="32">IF(P$12=0,0,P47/P$12)</f>
        <v>0</v>
      </c>
      <c r="S47" s="1"/>
      <c r="T47" s="1">
        <f>SUM(OSRRefT22_5x_0)</f>
        <v>0</v>
      </c>
      <c r="U47" s="1"/>
      <c r="V47" s="5">
        <f t="shared" ref="V47:V49" si="33">IF(T$12=0,0,T47/T$12)</f>
        <v>0</v>
      </c>
      <c r="W47" s="1"/>
      <c r="X47" s="1">
        <f t="shared" ref="X47:X49" si="34">+P47-T47</f>
        <v>-374.91999999999996</v>
      </c>
      <c r="Y47" s="1"/>
      <c r="Z47" s="5">
        <f t="shared" ref="Z47:Z49" si="35">IF(T47=0,0,X47/T47)</f>
        <v>0</v>
      </c>
    </row>
    <row r="48" spans="1:26" s="24" customFormat="1" hidden="1" outlineLevel="2" x14ac:dyDescent="0.25">
      <c r="A48" s="27"/>
      <c r="B48" s="11" t="str">
        <f>CONCATENATE("          ", "6282", " - ", "JANITORIAL/EXTERMINATOR EXPENS")</f>
        <v xml:space="preserve">          6282 - JANITORIAL/EXTERMINATOR EXPENS</v>
      </c>
      <c r="C48" s="11"/>
      <c r="D48" s="6">
        <v>-201.88</v>
      </c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-201.88</v>
      </c>
      <c r="M48" s="2"/>
      <c r="N48" s="7">
        <f t="shared" si="31"/>
        <v>0</v>
      </c>
      <c r="O48" s="11"/>
      <c r="P48" s="6">
        <v>-201.88</v>
      </c>
      <c r="Q48" s="2"/>
      <c r="R48" s="7">
        <f t="shared" si="32"/>
        <v>0</v>
      </c>
      <c r="S48" s="2"/>
      <c r="T48" s="6"/>
      <c r="U48" s="2"/>
      <c r="V48" s="7">
        <f t="shared" si="33"/>
        <v>0</v>
      </c>
      <c r="W48" s="2"/>
      <c r="X48" s="6">
        <f t="shared" si="34"/>
        <v>-201.88</v>
      </c>
      <c r="Y48" s="2"/>
      <c r="Z48" s="7">
        <f t="shared" si="35"/>
        <v>0</v>
      </c>
    </row>
    <row r="49" spans="1:26" s="24" customFormat="1" hidden="1" outlineLevel="2" x14ac:dyDescent="0.25">
      <c r="A49" s="27"/>
      <c r="B49" s="11" t="str">
        <f>CONCATENATE("          ", "6285", " - ", "JANITORIAL SERVICES")</f>
        <v xml:space="preserve">          6285 - JANITORIAL SERVICES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-173.04</v>
      </c>
      <c r="Q49" s="2"/>
      <c r="R49" s="7">
        <f t="shared" si="32"/>
        <v>0</v>
      </c>
      <c r="S49" s="2"/>
      <c r="T49" s="6"/>
      <c r="U49" s="2"/>
      <c r="V49" s="7">
        <f t="shared" si="33"/>
        <v>0</v>
      </c>
      <c r="W49" s="2"/>
      <c r="X49" s="6">
        <f t="shared" si="34"/>
        <v>-173.04</v>
      </c>
      <c r="Y49" s="2"/>
      <c r="Z49" s="7">
        <f t="shared" si="35"/>
        <v>0</v>
      </c>
    </row>
    <row r="50" spans="1:26" s="29" customFormat="1" outlineLevel="1" collapsed="1" x14ac:dyDescent="0.25">
      <c r="A50" s="28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SUM(OSRRefD22_6x_0)</f>
        <v>91.01</v>
      </c>
      <c r="E50" s="1"/>
      <c r="F50" s="5">
        <f t="shared" ref="F50:F51" si="36">IF(D$12=0,0,D50/D$12)</f>
        <v>0</v>
      </c>
      <c r="G50" s="1"/>
      <c r="H50" s="1">
        <f>SUM(OSRRefH22_6x_0)</f>
        <v>0</v>
      </c>
      <c r="I50" s="1"/>
      <c r="J50" s="5">
        <f t="shared" ref="J50:J51" si="37">IF(H$12=0,0,H50/H$12)</f>
        <v>0</v>
      </c>
      <c r="K50" s="1"/>
      <c r="L50" s="1">
        <f t="shared" ref="L50:L51" si="38">+D50-H50</f>
        <v>91.01</v>
      </c>
      <c r="M50" s="1"/>
      <c r="N50" s="5">
        <f t="shared" ref="N50:N51" si="39">IF(H50=0,0,L50/H50)</f>
        <v>0</v>
      </c>
      <c r="O50" s="14"/>
      <c r="P50" s="1">
        <f>SUM(OSRRefP22_6x_0)</f>
        <v>182.02</v>
      </c>
      <c r="Q50" s="1"/>
      <c r="R50" s="5">
        <f t="shared" ref="R50:R51" si="40">IF(P$12=0,0,P50/P$12)</f>
        <v>0</v>
      </c>
      <c r="S50" s="1"/>
      <c r="T50" s="1">
        <f>SUM(OSRRefT22_6x_0)</f>
        <v>0</v>
      </c>
      <c r="U50" s="1"/>
      <c r="V50" s="5">
        <f t="shared" ref="V50:V51" si="41">IF(T$12=0,0,T50/T$12)</f>
        <v>0</v>
      </c>
      <c r="W50" s="1"/>
      <c r="X50" s="1">
        <f t="shared" ref="X50:X51" si="42">+P50-T50</f>
        <v>182.02</v>
      </c>
      <c r="Y50" s="1"/>
      <c r="Z50" s="5">
        <f t="shared" ref="Z50:Z51" si="43">IF(T50=0,0,X50/T50)</f>
        <v>0</v>
      </c>
    </row>
    <row r="51" spans="1:26" s="24" customFormat="1" hidden="1" outlineLevel="2" x14ac:dyDescent="0.25">
      <c r="A51" s="27"/>
      <c r="B51" s="11" t="str">
        <f>CONCATENATE("          ", "6309", " - ", "TELEPHONE")</f>
        <v xml:space="preserve">          6309 - TELEPHONE</v>
      </c>
      <c r="C51" s="11"/>
      <c r="D51" s="6">
        <v>91.01</v>
      </c>
      <c r="E51" s="2"/>
      <c r="F51" s="7">
        <f t="shared" si="36"/>
        <v>0</v>
      </c>
      <c r="G51" s="2"/>
      <c r="H51" s="6"/>
      <c r="I51" s="2"/>
      <c r="J51" s="7">
        <f t="shared" si="37"/>
        <v>0</v>
      </c>
      <c r="K51" s="2"/>
      <c r="L51" s="6">
        <f t="shared" si="38"/>
        <v>91.01</v>
      </c>
      <c r="M51" s="2"/>
      <c r="N51" s="7">
        <f t="shared" si="39"/>
        <v>0</v>
      </c>
      <c r="O51" s="11"/>
      <c r="P51" s="6">
        <v>182.02</v>
      </c>
      <c r="Q51" s="2"/>
      <c r="R51" s="7">
        <f t="shared" si="40"/>
        <v>0</v>
      </c>
      <c r="S51" s="2"/>
      <c r="T51" s="6"/>
      <c r="U51" s="2"/>
      <c r="V51" s="7">
        <f t="shared" si="41"/>
        <v>0</v>
      </c>
      <c r="W51" s="2"/>
      <c r="X51" s="6">
        <f t="shared" si="42"/>
        <v>182.02</v>
      </c>
      <c r="Y51" s="2"/>
      <c r="Z51" s="7">
        <f t="shared" si="43"/>
        <v>0</v>
      </c>
    </row>
    <row r="52" spans="1:26" s="61" customFormat="1" x14ac:dyDescent="0.25">
      <c r="A52" s="36"/>
      <c r="B52" s="36"/>
      <c r="C52" s="36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6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2" customFormat="1" x14ac:dyDescent="0.25">
      <c r="A53" s="10"/>
      <c r="B53" s="25" t="s">
        <v>0</v>
      </c>
      <c r="C53" s="10"/>
      <c r="D53" s="4">
        <f>SUM(0)</f>
        <v>0</v>
      </c>
      <c r="E53" s="4"/>
      <c r="F53" s="12">
        <f>IF(D$12=0,0,D53/D$12)</f>
        <v>0</v>
      </c>
      <c r="G53" s="4"/>
      <c r="H53" s="4">
        <f>SUM(0)</f>
        <v>0</v>
      </c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>
        <f>SUM(0)</f>
        <v>0</v>
      </c>
      <c r="Q53" s="4"/>
      <c r="R53" s="12">
        <f>IF(P$12=0,0,P53/P$12)</f>
        <v>0</v>
      </c>
      <c r="S53" s="4"/>
      <c r="T53" s="4">
        <f>SUM(0)</f>
        <v>0</v>
      </c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2" customFormat="1" x14ac:dyDescent="0.25">
      <c r="A55" s="10"/>
      <c r="B55" s="26" t="s">
        <v>3</v>
      </c>
      <c r="C55" s="26"/>
      <c r="D55" s="21">
        <f>+D17-D19+D53</f>
        <v>-603.72</v>
      </c>
      <c r="E55" s="13"/>
      <c r="F55" s="20">
        <f>IF(D$12=0,0,D55/D$12)</f>
        <v>0</v>
      </c>
      <c r="G55" s="13"/>
      <c r="H55" s="21">
        <f>+H17-H19+H53</f>
        <v>0</v>
      </c>
      <c r="I55" s="13"/>
      <c r="J55" s="20">
        <f>IF(H$12=0,0,H55/H$12)</f>
        <v>0</v>
      </c>
      <c r="K55" s="16"/>
      <c r="L55" s="21">
        <f>+D55-H55</f>
        <v>-603.72</v>
      </c>
      <c r="M55" s="16"/>
      <c r="N55" s="20">
        <f>IF(H55=0,0,L55/H55)</f>
        <v>0</v>
      </c>
      <c r="O55" s="25"/>
      <c r="P55" s="21">
        <f>+P17-P19+P53</f>
        <v>-951.12</v>
      </c>
      <c r="Q55" s="13"/>
      <c r="R55" s="20">
        <f>IF(P$12=0,0,P55/P$12)</f>
        <v>0</v>
      </c>
      <c r="S55" s="13"/>
      <c r="T55" s="21">
        <f>+T17-T19+T53</f>
        <v>0</v>
      </c>
      <c r="U55" s="13"/>
      <c r="V55" s="20">
        <f>IF(T$12=0,0,T55/T$12)</f>
        <v>0</v>
      </c>
      <c r="W55" s="16"/>
      <c r="X55" s="21">
        <f>+P55-T55</f>
        <v>-951.12</v>
      </c>
      <c r="Y55" s="16"/>
      <c r="Z55" s="20">
        <f>IF(T55=0,0,X55/T55)</f>
        <v>0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2" customFormat="1" x14ac:dyDescent="0.25">
      <c r="A57" s="52"/>
      <c r="B57" s="10" t="s">
        <v>14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2" customFormat="1" ht="15.75" thickBot="1" x14ac:dyDescent="0.3">
      <c r="A59" s="10"/>
      <c r="B59" s="26" t="s">
        <v>4</v>
      </c>
      <c r="C59" s="26"/>
      <c r="D59" s="33">
        <f>+D55-D57</f>
        <v>-603.72</v>
      </c>
      <c r="E59" s="13"/>
      <c r="F59" s="31">
        <f>IF(D$12=0,0,D59/D$12)</f>
        <v>0</v>
      </c>
      <c r="G59" s="13"/>
      <c r="H59" s="33">
        <f>+H55-H57</f>
        <v>0</v>
      </c>
      <c r="I59" s="13"/>
      <c r="J59" s="31">
        <f>IF(H$12=0,0,H59/H$12)</f>
        <v>0</v>
      </c>
      <c r="K59" s="16"/>
      <c r="L59" s="33">
        <f>D59-H59</f>
        <v>-603.72</v>
      </c>
      <c r="M59" s="16"/>
      <c r="N59" s="31">
        <f>IF(H59=0,0,L59/H59)</f>
        <v>0</v>
      </c>
      <c r="O59" s="25"/>
      <c r="P59" s="33">
        <f>+P55-P57</f>
        <v>-951.12</v>
      </c>
      <c r="Q59" s="13"/>
      <c r="R59" s="31">
        <f>IF(P$12=0,0,P59/P$12)</f>
        <v>0</v>
      </c>
      <c r="S59" s="13"/>
      <c r="T59" s="33">
        <f>+T55-T57</f>
        <v>0</v>
      </c>
      <c r="U59" s="13"/>
      <c r="V59" s="31">
        <f>IF(T$12=0,0,T59/T$12)</f>
        <v>0</v>
      </c>
      <c r="W59" s="16"/>
      <c r="X59" s="33">
        <f>P59-T59</f>
        <v>-951.12</v>
      </c>
      <c r="Y59" s="16"/>
      <c r="Z59" s="31">
        <f>IF(T59=0,0,X59/T59)</f>
        <v>0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2" customFormat="1" ht="15.75" thickBot="1" x14ac:dyDescent="0.3">
      <c r="A62" s="10"/>
      <c r="B62" s="26" t="s">
        <v>5</v>
      </c>
      <c r="C62" s="26"/>
      <c r="D62" s="32">
        <f>SUM(D59:D61)</f>
        <v>-603.72</v>
      </c>
      <c r="E62" s="13"/>
      <c r="F62" s="35">
        <f>IF(D$12=0,0,D62/D$12)</f>
        <v>0</v>
      </c>
      <c r="G62" s="13"/>
      <c r="H62" s="32">
        <f>SUM(H59:H61)</f>
        <v>0</v>
      </c>
      <c r="I62" s="13"/>
      <c r="J62" s="35">
        <f>IF(H$12=0,0,H62/H$12)</f>
        <v>0</v>
      </c>
      <c r="K62" s="16"/>
      <c r="L62" s="32">
        <f>+D62-H62</f>
        <v>-603.72</v>
      </c>
      <c r="M62" s="16"/>
      <c r="N62" s="35">
        <f>IF(H62=0,0,L62/H62)</f>
        <v>0</v>
      </c>
      <c r="O62" s="25"/>
      <c r="P62" s="32">
        <f>SUM(P59:P61)</f>
        <v>-951.12</v>
      </c>
      <c r="Q62" s="13"/>
      <c r="R62" s="35">
        <f>IF(P$12=0,0,P62/P$12)</f>
        <v>0</v>
      </c>
      <c r="S62" s="13"/>
      <c r="T62" s="32">
        <f>SUM(T59:T61)</f>
        <v>0</v>
      </c>
      <c r="U62" s="13"/>
      <c r="V62" s="35">
        <f>IF(T$12=0,0,T62/T$12)</f>
        <v>0</v>
      </c>
      <c r="W62" s="16"/>
      <c r="X62" s="32">
        <f>+P62-T62</f>
        <v>-951.12</v>
      </c>
      <c r="Y62" s="16"/>
      <c r="Z62" s="35">
        <f>IF(T62=0,0,X62/T62)</f>
        <v>0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9">
        <v>44113.689417592592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2" t="s">
        <v>314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63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","313", " - ", "Convenience Store")</f>
        <v>Department 313 - Convenience 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3071</v>
      </c>
      <c r="I12" s="4"/>
      <c r="J12" s="12"/>
      <c r="K12" s="4"/>
      <c r="L12" s="4">
        <f t="shared" ref="L12:L13" si="0">+D12-H12</f>
        <v>-3071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3071</v>
      </c>
      <c r="U12" s="4"/>
      <c r="V12" s="12"/>
      <c r="W12" s="4"/>
      <c r="X12" s="4">
        <f t="shared" ref="X12:X13" si="2">+P12-T12</f>
        <v>-3071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>
        <v>3071</v>
      </c>
      <c r="I13" s="2"/>
      <c r="J13" s="23"/>
      <c r="K13" s="2"/>
      <c r="L13" s="2">
        <f t="shared" si="0"/>
        <v>-3071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3071</v>
      </c>
      <c r="U13" s="2"/>
      <c r="V13" s="23"/>
      <c r="W13" s="2"/>
      <c r="X13" s="2">
        <f t="shared" si="2"/>
        <v>-3071</v>
      </c>
      <c r="Y13" s="2"/>
      <c r="Z13" s="23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>
        <f>SUM(OSRRefD16x_0)</f>
        <v>-613.59</v>
      </c>
      <c r="E15" s="4"/>
      <c r="F15" s="12">
        <f t="shared" ref="F15:F17" si="4">IF(D$12=0,0,D15/D$12)</f>
        <v>0</v>
      </c>
      <c r="G15" s="4"/>
      <c r="H15" s="4">
        <f>SUM(OSRRefH16x_0)</f>
        <v>1456</v>
      </c>
      <c r="I15" s="4"/>
      <c r="J15" s="12">
        <f t="shared" ref="J15:J17" si="5">IF(H$12=0,0,H15/H$12)</f>
        <v>0.4741126668837512</v>
      </c>
      <c r="K15" s="4"/>
      <c r="L15" s="4">
        <f t="shared" ref="L15:L17" si="6">+D15-H15</f>
        <v>-2069.59</v>
      </c>
      <c r="M15" s="4"/>
      <c r="N15" s="12">
        <f t="shared" ref="N15:N17" si="7">IF(H15=0,0,L15/H15)</f>
        <v>-1.4214217032967034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1456</v>
      </c>
      <c r="U15" s="4"/>
      <c r="V15" s="12">
        <f t="shared" ref="V15:V17" si="9">IF(T$12=0,0,T15/T$12)</f>
        <v>0.4741126668837512</v>
      </c>
      <c r="W15" s="4"/>
      <c r="X15" s="4">
        <f t="shared" ref="X15:X17" si="10">+P15-T15</f>
        <v>-2069.59</v>
      </c>
      <c r="Y15" s="4"/>
      <c r="Z15" s="12">
        <f t="shared" ref="Z15:Z17" si="11">IF(T15=0,0,X15/T15)</f>
        <v>-1.4214217032967034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3">
        <f t="shared" si="4"/>
        <v>0</v>
      </c>
      <c r="G16" s="2"/>
      <c r="H16" s="2">
        <v>1456</v>
      </c>
      <c r="I16" s="2"/>
      <c r="J16" s="23">
        <f t="shared" si="5"/>
        <v>0.4741126668837512</v>
      </c>
      <c r="K16" s="2"/>
      <c r="L16" s="2">
        <f t="shared" si="6"/>
        <v>-1456</v>
      </c>
      <c r="M16" s="2"/>
      <c r="N16" s="23">
        <f t="shared" si="7"/>
        <v>-1</v>
      </c>
      <c r="O16" s="11"/>
      <c r="P16" s="2"/>
      <c r="Q16" s="2"/>
      <c r="R16" s="23">
        <f t="shared" si="8"/>
        <v>0</v>
      </c>
      <c r="S16" s="2"/>
      <c r="T16" s="2">
        <v>1456</v>
      </c>
      <c r="U16" s="2"/>
      <c r="V16" s="23">
        <f t="shared" si="9"/>
        <v>0.4741126668837512</v>
      </c>
      <c r="W16" s="2"/>
      <c r="X16" s="2">
        <f t="shared" si="10"/>
        <v>-1456</v>
      </c>
      <c r="Y16" s="2"/>
      <c r="Z16" s="23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>
        <v>-613.59</v>
      </c>
      <c r="E17" s="2"/>
      <c r="F17" s="23">
        <f t="shared" si="4"/>
        <v>0</v>
      </c>
      <c r="G17" s="2"/>
      <c r="H17" s="2"/>
      <c r="I17" s="2"/>
      <c r="J17" s="23">
        <f t="shared" si="5"/>
        <v>0</v>
      </c>
      <c r="K17" s="2"/>
      <c r="L17" s="2">
        <f t="shared" si="6"/>
        <v>-613.59</v>
      </c>
      <c r="M17" s="2"/>
      <c r="N17" s="23">
        <f t="shared" si="7"/>
        <v>0</v>
      </c>
      <c r="O17" s="11"/>
      <c r="P17" s="2">
        <v>-613.59</v>
      </c>
      <c r="Q17" s="2"/>
      <c r="R17" s="23">
        <f t="shared" si="8"/>
        <v>0</v>
      </c>
      <c r="S17" s="2"/>
      <c r="T17" s="2"/>
      <c r="U17" s="2"/>
      <c r="V17" s="23">
        <f t="shared" si="9"/>
        <v>0</v>
      </c>
      <c r="W17" s="2"/>
      <c r="X17" s="2">
        <f t="shared" si="10"/>
        <v>-613.59</v>
      </c>
      <c r="Y17" s="2"/>
      <c r="Z17" s="23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2" customFormat="1" x14ac:dyDescent="0.25">
      <c r="A19" s="10"/>
      <c r="B19" s="26" t="s">
        <v>6</v>
      </c>
      <c r="C19" s="26"/>
      <c r="D19" s="21">
        <f>D12-D15</f>
        <v>613.59</v>
      </c>
      <c r="E19" s="13"/>
      <c r="F19" s="20">
        <f>IF(D$12=0,0,D19/D$12)</f>
        <v>0</v>
      </c>
      <c r="G19" s="13"/>
      <c r="H19" s="21">
        <f>H12-H15</f>
        <v>1615</v>
      </c>
      <c r="I19" s="13"/>
      <c r="J19" s="20">
        <f>IF(H$12=0,0,H19/H$12)</f>
        <v>0.5258873331162488</v>
      </c>
      <c r="K19" s="16"/>
      <c r="L19" s="21">
        <f>+D19-H19</f>
        <v>-1001.41</v>
      </c>
      <c r="M19" s="16"/>
      <c r="N19" s="20">
        <f>IF(H19=0,0,L19/H19)</f>
        <v>-0.62006811145510832</v>
      </c>
      <c r="O19" s="25"/>
      <c r="P19" s="21">
        <f>P12-P15</f>
        <v>613.59</v>
      </c>
      <c r="Q19" s="13"/>
      <c r="R19" s="20">
        <f>IF(P$12=0,0,P19/P$12)</f>
        <v>0</v>
      </c>
      <c r="S19" s="13"/>
      <c r="T19" s="21">
        <f>T12-T15</f>
        <v>1615</v>
      </c>
      <c r="U19" s="13"/>
      <c r="V19" s="20">
        <f>IF(T$12=0,0,T19/T$12)</f>
        <v>0.5258873331162488</v>
      </c>
      <c r="W19" s="16"/>
      <c r="X19" s="21">
        <f>+P19-T19</f>
        <v>-1001.41</v>
      </c>
      <c r="Y19" s="16"/>
      <c r="Z19" s="20">
        <f>IF(T19=0,0,X19/T19)</f>
        <v>-0.62006811145510832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5" t="s">
        <v>9</v>
      </c>
      <c r="C21" s="10"/>
      <c r="D21" s="19">
        <f>SUM(OSRRefD22x_0)</f>
        <v>9678.07</v>
      </c>
      <c r="E21" s="19"/>
      <c r="F21" s="30">
        <f t="shared" ref="F21:F31" si="12">IF(D$12=0,0,D21/D$12)</f>
        <v>0</v>
      </c>
      <c r="G21" s="19"/>
      <c r="H21" s="19">
        <f>SUM(OSRRefH22x_0)</f>
        <v>12854.71838</v>
      </c>
      <c r="I21" s="19"/>
      <c r="J21" s="30">
        <f t="shared" ref="J21:J31" si="13">IF(H$12=0,0,H21/H$12)</f>
        <v>4.1858412178443505</v>
      </c>
      <c r="K21" s="4"/>
      <c r="L21" s="19">
        <f t="shared" ref="L21:L31" si="14">+D21-H21</f>
        <v>-3176.6483800000005</v>
      </c>
      <c r="M21" s="4"/>
      <c r="N21" s="30">
        <f t="shared" ref="N21:N31" si="15">IF(H21=0,0,L21/H21)</f>
        <v>-0.24711925116480074</v>
      </c>
      <c r="O21" s="10"/>
      <c r="P21" s="19">
        <f>SUM(OSRRefP22x_0)</f>
        <v>19355.23</v>
      </c>
      <c r="Q21" s="19"/>
      <c r="R21" s="30">
        <f t="shared" ref="R21:R31" si="16">IF(P$12=0,0,P21/P$12)</f>
        <v>0</v>
      </c>
      <c r="S21" s="19"/>
      <c r="T21" s="19">
        <f>SUM(OSRRefT22x_0)</f>
        <v>25487.824105</v>
      </c>
      <c r="U21" s="19"/>
      <c r="V21" s="30">
        <f t="shared" ref="V21:V31" si="17">IF(T$12=0,0,T21/T$12)</f>
        <v>8.299519408987301</v>
      </c>
      <c r="W21" s="4"/>
      <c r="X21" s="19">
        <f t="shared" ref="X21:X31" si="18">+P21-T21</f>
        <v>-6132.5941050000001</v>
      </c>
      <c r="Y21" s="4"/>
      <c r="Z21" s="30">
        <f t="shared" ref="Z21:Z31" si="19">IF(T21=0,0,X21/T21)</f>
        <v>-0.24060877381043116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3925.4199999999996</v>
      </c>
      <c r="E22" s="1"/>
      <c r="F22" s="5">
        <f t="shared" si="12"/>
        <v>0</v>
      </c>
      <c r="G22" s="1"/>
      <c r="H22" s="1">
        <f>SUM(OSRRefH22_0x_0)</f>
        <v>3604.01838</v>
      </c>
      <c r="I22" s="1"/>
      <c r="J22" s="5">
        <f t="shared" si="13"/>
        <v>1.1735650862911104</v>
      </c>
      <c r="K22" s="1"/>
      <c r="L22" s="1">
        <f t="shared" si="14"/>
        <v>321.40161999999964</v>
      </c>
      <c r="M22" s="1"/>
      <c r="N22" s="5">
        <f t="shared" si="15"/>
        <v>8.9178685043221018E-2</v>
      </c>
      <c r="O22" s="14"/>
      <c r="P22" s="1">
        <f>SUM(OSRRefP22_0x_0)</f>
        <v>8027.25</v>
      </c>
      <c r="Q22" s="1"/>
      <c r="R22" s="5">
        <f t="shared" si="16"/>
        <v>0</v>
      </c>
      <c r="S22" s="1"/>
      <c r="T22" s="1">
        <f>SUM(OSRRefT22_0x_0)</f>
        <v>7384.4991049999999</v>
      </c>
      <c r="U22" s="1"/>
      <c r="V22" s="5">
        <f t="shared" si="17"/>
        <v>2.4045910468902636</v>
      </c>
      <c r="W22" s="1"/>
      <c r="X22" s="1">
        <f t="shared" si="18"/>
        <v>642.75089500000013</v>
      </c>
      <c r="Y22" s="1"/>
      <c r="Z22" s="5">
        <f t="shared" si="19"/>
        <v>8.7040554255710778E-2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6">
        <v>357.68</v>
      </c>
      <c r="E23" s="2"/>
      <c r="F23" s="7">
        <f t="shared" si="12"/>
        <v>0</v>
      </c>
      <c r="G23" s="2"/>
      <c r="H23" s="6">
        <v>511.67957999999999</v>
      </c>
      <c r="I23" s="2"/>
      <c r="J23" s="7">
        <f t="shared" si="13"/>
        <v>0.16661660045587756</v>
      </c>
      <c r="K23" s="2"/>
      <c r="L23" s="6">
        <f t="shared" si="14"/>
        <v>-153.99957999999998</v>
      </c>
      <c r="M23" s="2"/>
      <c r="N23" s="7">
        <f t="shared" si="15"/>
        <v>-0.30096878206474448</v>
      </c>
      <c r="O23" s="11"/>
      <c r="P23" s="6">
        <v>741.5</v>
      </c>
      <c r="Q23" s="2"/>
      <c r="R23" s="7">
        <f t="shared" si="16"/>
        <v>0</v>
      </c>
      <c r="S23" s="2"/>
      <c r="T23" s="6">
        <v>1044.1370550000001</v>
      </c>
      <c r="U23" s="2"/>
      <c r="V23" s="7">
        <f t="shared" si="17"/>
        <v>0.33999904102898082</v>
      </c>
      <c r="W23" s="2"/>
      <c r="X23" s="6">
        <f t="shared" si="18"/>
        <v>-302.63705500000015</v>
      </c>
      <c r="Y23" s="2"/>
      <c r="Z23" s="7">
        <f t="shared" si="19"/>
        <v>-0.28984418621174218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6">
        <v>86.5</v>
      </c>
      <c r="E24" s="2"/>
      <c r="F24" s="7">
        <f t="shared" si="12"/>
        <v>0</v>
      </c>
      <c r="G24" s="2"/>
      <c r="H24" s="6">
        <v>158.13800000000001</v>
      </c>
      <c r="I24" s="2"/>
      <c r="J24" s="7">
        <f t="shared" si="13"/>
        <v>5.1493975903614458E-2</v>
      </c>
      <c r="K24" s="2"/>
      <c r="L24" s="6">
        <f t="shared" si="14"/>
        <v>-71.638000000000005</v>
      </c>
      <c r="M24" s="2"/>
      <c r="N24" s="7">
        <f t="shared" si="15"/>
        <v>-0.45300939685591068</v>
      </c>
      <c r="O24" s="11"/>
      <c r="P24" s="6">
        <v>179.32</v>
      </c>
      <c r="Q24" s="2"/>
      <c r="R24" s="7">
        <f t="shared" si="16"/>
        <v>0</v>
      </c>
      <c r="S24" s="2"/>
      <c r="T24" s="6">
        <v>286.85174999999998</v>
      </c>
      <c r="U24" s="2"/>
      <c r="V24" s="7">
        <f t="shared" si="17"/>
        <v>9.340662650602409E-2</v>
      </c>
      <c r="W24" s="2"/>
      <c r="X24" s="6">
        <f t="shared" si="18"/>
        <v>-107.53174999999999</v>
      </c>
      <c r="Y24" s="2"/>
      <c r="Z24" s="7">
        <f t="shared" si="19"/>
        <v>-0.37486872574422153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6">
        <v>2021.26</v>
      </c>
      <c r="E25" s="2"/>
      <c r="F25" s="7">
        <f t="shared" si="12"/>
        <v>0</v>
      </c>
      <c r="G25" s="2"/>
      <c r="H25" s="6">
        <v>1980</v>
      </c>
      <c r="I25" s="2"/>
      <c r="J25" s="7">
        <f t="shared" si="13"/>
        <v>0.64474112666883754</v>
      </c>
      <c r="K25" s="2"/>
      <c r="L25" s="6">
        <f t="shared" si="14"/>
        <v>41.259999999999991</v>
      </c>
      <c r="M25" s="2"/>
      <c r="N25" s="7">
        <f t="shared" si="15"/>
        <v>2.0838383838383833E-2</v>
      </c>
      <c r="O25" s="11"/>
      <c r="P25" s="6">
        <v>4042.52</v>
      </c>
      <c r="Q25" s="2"/>
      <c r="R25" s="7">
        <f t="shared" si="16"/>
        <v>0</v>
      </c>
      <c r="S25" s="2"/>
      <c r="T25" s="6">
        <v>3960</v>
      </c>
      <c r="U25" s="2"/>
      <c r="V25" s="7">
        <f t="shared" si="17"/>
        <v>1.2894822533376751</v>
      </c>
      <c r="W25" s="2"/>
      <c r="X25" s="6">
        <f t="shared" si="18"/>
        <v>82.519999999999982</v>
      </c>
      <c r="Y25" s="2"/>
      <c r="Z25" s="7">
        <f t="shared" si="19"/>
        <v>2.0838383838383833E-2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6">
        <v>12.16</v>
      </c>
      <c r="E26" s="2"/>
      <c r="F26" s="7">
        <f t="shared" si="12"/>
        <v>0</v>
      </c>
      <c r="G26" s="2"/>
      <c r="H26" s="6">
        <v>22.224799999999998</v>
      </c>
      <c r="I26" s="2"/>
      <c r="J26" s="7">
        <f t="shared" si="13"/>
        <v>7.2369912080755446E-3</v>
      </c>
      <c r="K26" s="2"/>
      <c r="L26" s="6">
        <f t="shared" si="14"/>
        <v>-10.064799999999998</v>
      </c>
      <c r="M26" s="2"/>
      <c r="N26" s="7">
        <f t="shared" si="15"/>
        <v>-0.45286346783773079</v>
      </c>
      <c r="O26" s="11"/>
      <c r="P26" s="6">
        <v>25.2</v>
      </c>
      <c r="Q26" s="2"/>
      <c r="R26" s="7">
        <f t="shared" si="16"/>
        <v>0</v>
      </c>
      <c r="S26" s="2"/>
      <c r="T26" s="6">
        <v>40.314300000000003</v>
      </c>
      <c r="U26" s="2"/>
      <c r="V26" s="7">
        <f t="shared" si="17"/>
        <v>1.312741777922501E-2</v>
      </c>
      <c r="W26" s="2"/>
      <c r="X26" s="6">
        <f t="shared" si="18"/>
        <v>-15.114300000000004</v>
      </c>
      <c r="Y26" s="2"/>
      <c r="Z26" s="7">
        <f t="shared" si="19"/>
        <v>-0.37491163185271736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6">
        <v>614.05999999999995</v>
      </c>
      <c r="E27" s="2"/>
      <c r="F27" s="7">
        <f t="shared" si="12"/>
        <v>0</v>
      </c>
      <c r="G27" s="2"/>
      <c r="H27" s="6">
        <v>478.67599999999999</v>
      </c>
      <c r="I27" s="2"/>
      <c r="J27" s="7">
        <f t="shared" si="13"/>
        <v>0.15586974926733962</v>
      </c>
      <c r="K27" s="2"/>
      <c r="L27" s="6">
        <f t="shared" si="14"/>
        <v>135.38399999999996</v>
      </c>
      <c r="M27" s="2"/>
      <c r="N27" s="7">
        <f t="shared" si="15"/>
        <v>0.28283013980228788</v>
      </c>
      <c r="O27" s="11"/>
      <c r="P27" s="6">
        <v>1535.15</v>
      </c>
      <c r="Q27" s="2"/>
      <c r="R27" s="7">
        <f t="shared" si="16"/>
        <v>0</v>
      </c>
      <c r="S27" s="2"/>
      <c r="T27" s="6">
        <v>1077.021</v>
      </c>
      <c r="U27" s="2"/>
      <c r="V27" s="7">
        <f t="shared" si="17"/>
        <v>0.35070693585151413</v>
      </c>
      <c r="W27" s="2"/>
      <c r="X27" s="6">
        <f t="shared" si="18"/>
        <v>458.12900000000013</v>
      </c>
      <c r="Y27" s="2"/>
      <c r="Z27" s="7">
        <f t="shared" si="19"/>
        <v>0.42536682200254233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407.06</v>
      </c>
      <c r="E29" s="2"/>
      <c r="F29" s="7">
        <f t="shared" si="12"/>
        <v>0</v>
      </c>
      <c r="G29" s="2"/>
      <c r="H29" s="6">
        <v>166.98</v>
      </c>
      <c r="I29" s="2"/>
      <c r="J29" s="7">
        <f t="shared" si="13"/>
        <v>5.4373168349071958E-2</v>
      </c>
      <c r="K29" s="2"/>
      <c r="L29" s="6">
        <f t="shared" si="14"/>
        <v>240.08</v>
      </c>
      <c r="M29" s="2"/>
      <c r="N29" s="7">
        <f t="shared" si="15"/>
        <v>1.4377769792789556</v>
      </c>
      <c r="O29" s="11"/>
      <c r="P29" s="6">
        <v>814.12</v>
      </c>
      <c r="Q29" s="2"/>
      <c r="R29" s="7">
        <f t="shared" si="16"/>
        <v>0</v>
      </c>
      <c r="S29" s="2"/>
      <c r="T29" s="6">
        <v>375.70499999999998</v>
      </c>
      <c r="U29" s="2"/>
      <c r="V29" s="7">
        <f t="shared" si="17"/>
        <v>0.12233962878541191</v>
      </c>
      <c r="W29" s="2"/>
      <c r="X29" s="6">
        <f t="shared" si="18"/>
        <v>438.41500000000002</v>
      </c>
      <c r="Y29" s="2"/>
      <c r="Z29" s="7">
        <f t="shared" si="19"/>
        <v>1.1669128704701828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256.76</v>
      </c>
      <c r="E30" s="2"/>
      <c r="F30" s="7">
        <f t="shared" si="12"/>
        <v>0</v>
      </c>
      <c r="G30" s="2"/>
      <c r="H30" s="6">
        <v>111.32</v>
      </c>
      <c r="I30" s="2"/>
      <c r="J30" s="7">
        <f t="shared" si="13"/>
        <v>3.6248778899381308E-2</v>
      </c>
      <c r="K30" s="2"/>
      <c r="L30" s="6">
        <f t="shared" si="14"/>
        <v>145.44</v>
      </c>
      <c r="M30" s="2"/>
      <c r="N30" s="7">
        <f t="shared" si="15"/>
        <v>1.3065037729069351</v>
      </c>
      <c r="O30" s="11"/>
      <c r="P30" s="6">
        <v>513.52</v>
      </c>
      <c r="Q30" s="2"/>
      <c r="R30" s="7">
        <f t="shared" si="16"/>
        <v>0</v>
      </c>
      <c r="S30" s="2"/>
      <c r="T30" s="6">
        <v>250.47</v>
      </c>
      <c r="U30" s="2"/>
      <c r="V30" s="7">
        <f t="shared" si="17"/>
        <v>8.1559752523607948E-2</v>
      </c>
      <c r="W30" s="2"/>
      <c r="X30" s="6">
        <f t="shared" si="18"/>
        <v>263.04999999999995</v>
      </c>
      <c r="Y30" s="2"/>
      <c r="Z30" s="7">
        <f t="shared" si="19"/>
        <v>1.0502255759172754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169.94</v>
      </c>
      <c r="E31" s="2"/>
      <c r="F31" s="7">
        <f t="shared" si="12"/>
        <v>0</v>
      </c>
      <c r="G31" s="2"/>
      <c r="H31" s="6">
        <v>175</v>
      </c>
      <c r="I31" s="2"/>
      <c r="J31" s="7">
        <f t="shared" si="13"/>
        <v>5.698469553891241E-2</v>
      </c>
      <c r="K31" s="2"/>
      <c r="L31" s="6">
        <f t="shared" si="14"/>
        <v>-5.0600000000000023</v>
      </c>
      <c r="M31" s="2"/>
      <c r="N31" s="7">
        <f t="shared" si="15"/>
        <v>-2.8914285714285726E-2</v>
      </c>
      <c r="O31" s="11"/>
      <c r="P31" s="6">
        <v>175.92</v>
      </c>
      <c r="Q31" s="2"/>
      <c r="R31" s="7">
        <f t="shared" si="16"/>
        <v>0</v>
      </c>
      <c r="S31" s="2"/>
      <c r="T31" s="6">
        <v>350</v>
      </c>
      <c r="U31" s="2"/>
      <c r="V31" s="7">
        <f t="shared" si="17"/>
        <v>0.11396939107782482</v>
      </c>
      <c r="W31" s="2"/>
      <c r="X31" s="6">
        <f t="shared" si="18"/>
        <v>-174.08</v>
      </c>
      <c r="Y31" s="2"/>
      <c r="Z31" s="7">
        <f t="shared" si="19"/>
        <v>-0.49737142857142863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5566.66</v>
      </c>
      <c r="E32" s="1"/>
      <c r="F32" s="5">
        <f t="shared" ref="F32:F42" si="20">IF(D$12=0,0,D32/D$12)</f>
        <v>0</v>
      </c>
      <c r="G32" s="1"/>
      <c r="H32" s="1">
        <f>SUM(OSRRefH22_1x_0)</f>
        <v>8269.7000000000007</v>
      </c>
      <c r="I32" s="1"/>
      <c r="J32" s="5">
        <f t="shared" ref="J32:J42" si="21">IF(H$12=0,0,H32/H$12)</f>
        <v>2.69283620970368</v>
      </c>
      <c r="K32" s="1"/>
      <c r="L32" s="1">
        <f t="shared" ref="L32:L42" si="22">+D32-H32</f>
        <v>-2703.0400000000009</v>
      </c>
      <c r="M32" s="1"/>
      <c r="N32" s="5">
        <f t="shared" ref="N32:N42" si="23">IF(H32=0,0,L32/H32)</f>
        <v>-0.32686070836910658</v>
      </c>
      <c r="O32" s="14"/>
      <c r="P32" s="1">
        <f>SUM(OSRRefP22_1x_0)</f>
        <v>10959.69</v>
      </c>
      <c r="Q32" s="1"/>
      <c r="R32" s="5">
        <f t="shared" ref="R32:R42" si="24">IF(P$12=0,0,P32/P$12)</f>
        <v>0</v>
      </c>
      <c r="S32" s="1"/>
      <c r="T32" s="1">
        <f>SUM(OSRRefT22_1x_0)</f>
        <v>14879.324999999999</v>
      </c>
      <c r="U32" s="1"/>
      <c r="V32" s="5">
        <f t="shared" ref="V32:V42" si="25">IF(T$12=0,0,T32/T$12)</f>
        <v>4.8451074568544445</v>
      </c>
      <c r="W32" s="1"/>
      <c r="X32" s="1">
        <f t="shared" ref="X32:X42" si="26">+P32-T32</f>
        <v>-3919.6349999999984</v>
      </c>
      <c r="Y32" s="1"/>
      <c r="Z32" s="5">
        <f t="shared" ref="Z32:Z42" si="27">IF(T32=0,0,X32/T32)</f>
        <v>-0.26342828051675721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0"/>
        <v>0</v>
      </c>
      <c r="G33" s="2"/>
      <c r="H33" s="6">
        <v>5287.7</v>
      </c>
      <c r="I33" s="2"/>
      <c r="J33" s="7">
        <f t="shared" si="21"/>
        <v>1.7218169977206121</v>
      </c>
      <c r="K33" s="2"/>
      <c r="L33" s="6">
        <f t="shared" si="22"/>
        <v>-5287.7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11897.324999999999</v>
      </c>
      <c r="U33" s="2"/>
      <c r="V33" s="7">
        <f t="shared" si="25"/>
        <v>3.8740882448713769</v>
      </c>
      <c r="W33" s="2"/>
      <c r="X33" s="6">
        <f t="shared" si="26"/>
        <v>-11897.324999999999</v>
      </c>
      <c r="Y33" s="2"/>
      <c r="Z33" s="7">
        <f t="shared" si="27"/>
        <v>-1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>
        <v>5566.66</v>
      </c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5566.66</v>
      </c>
      <c r="M34" s="2"/>
      <c r="N34" s="7">
        <f t="shared" si="23"/>
        <v>0</v>
      </c>
      <c r="O34" s="11"/>
      <c r="P34" s="6">
        <v>10959.69</v>
      </c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10959.69</v>
      </c>
      <c r="Y34" s="2"/>
      <c r="Z34" s="7">
        <f t="shared" si="27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0"/>
        <v>0</v>
      </c>
      <c r="G36" s="2"/>
      <c r="H36" s="6">
        <v>1120</v>
      </c>
      <c r="I36" s="2"/>
      <c r="J36" s="7">
        <f t="shared" si="21"/>
        <v>0.36470205144903939</v>
      </c>
      <c r="K36" s="2"/>
      <c r="L36" s="6">
        <f t="shared" si="22"/>
        <v>-1120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1120</v>
      </c>
      <c r="U36" s="2"/>
      <c r="V36" s="7">
        <f t="shared" si="25"/>
        <v>0.36470205144903939</v>
      </c>
      <c r="W36" s="2"/>
      <c r="X36" s="6">
        <f t="shared" si="26"/>
        <v>-1120</v>
      </c>
      <c r="Y36" s="2"/>
      <c r="Z36" s="7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0"/>
        <v>0</v>
      </c>
      <c r="G37" s="2"/>
      <c r="H37" s="6">
        <v>1862</v>
      </c>
      <c r="I37" s="2"/>
      <c r="J37" s="7">
        <f t="shared" si="21"/>
        <v>0.60631716053402795</v>
      </c>
      <c r="K37" s="2"/>
      <c r="L37" s="6">
        <f t="shared" si="22"/>
        <v>-1862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1862</v>
      </c>
      <c r="U37" s="2"/>
      <c r="V37" s="7">
        <f t="shared" si="25"/>
        <v>0.60631716053402795</v>
      </c>
      <c r="W37" s="2"/>
      <c r="X37" s="6">
        <f t="shared" si="26"/>
        <v>-1862</v>
      </c>
      <c r="Y37" s="2"/>
      <c r="Z37" s="7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8" si="28">IF(D$12=0,0,D43/D$12)</f>
        <v>0</v>
      </c>
      <c r="G43" s="1"/>
      <c r="H43" s="1">
        <f>SUM(OSRRefH22_2x_0)</f>
        <v>100</v>
      </c>
      <c r="I43" s="1"/>
      <c r="J43" s="5">
        <f t="shared" ref="J43:J58" si="29">IF(H$12=0,0,H43/H$12)</f>
        <v>3.2562683165092803E-2</v>
      </c>
      <c r="K43" s="1"/>
      <c r="L43" s="1">
        <f t="shared" ref="L43:L58" si="30">+D43-H43</f>
        <v>-100</v>
      </c>
      <c r="M43" s="1"/>
      <c r="N43" s="5">
        <f t="shared" ref="N43:N58" si="31">IF(H43=0,0,L43/H43)</f>
        <v>-1</v>
      </c>
      <c r="O43" s="14"/>
      <c r="P43" s="1">
        <f>SUM(OSRRefP22_2x_0)</f>
        <v>0</v>
      </c>
      <c r="Q43" s="1"/>
      <c r="R43" s="5">
        <f t="shared" ref="R43:R58" si="32">IF(P$12=0,0,P43/P$12)</f>
        <v>0</v>
      </c>
      <c r="S43" s="1"/>
      <c r="T43" s="1">
        <f>SUM(OSRRefT22_2x_0)</f>
        <v>200</v>
      </c>
      <c r="U43" s="1"/>
      <c r="V43" s="5">
        <f t="shared" ref="V43:V58" si="33">IF(T$12=0,0,T43/T$12)</f>
        <v>6.5125366330185605E-2</v>
      </c>
      <c r="W43" s="1"/>
      <c r="X43" s="1">
        <f t="shared" ref="X43:X58" si="34">+P43-T43</f>
        <v>-200</v>
      </c>
      <c r="Y43" s="1"/>
      <c r="Z43" s="5">
        <f t="shared" ref="Z43:Z58" si="35">IF(T43=0,0,X43/T43)</f>
        <v>-1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8"/>
        <v>0</v>
      </c>
      <c r="G44" s="2"/>
      <c r="H44" s="6">
        <v>100</v>
      </c>
      <c r="I44" s="2"/>
      <c r="J44" s="7">
        <f t="shared" si="29"/>
        <v>3.2562683165092803E-2</v>
      </c>
      <c r="K44" s="2"/>
      <c r="L44" s="6">
        <f t="shared" si="30"/>
        <v>-100</v>
      </c>
      <c r="M44" s="2"/>
      <c r="N44" s="7">
        <f t="shared" si="31"/>
        <v>-1</v>
      </c>
      <c r="O44" s="11"/>
      <c r="P44" s="6"/>
      <c r="Q44" s="2"/>
      <c r="R44" s="7">
        <f t="shared" si="32"/>
        <v>0</v>
      </c>
      <c r="S44" s="2"/>
      <c r="T44" s="6">
        <v>200</v>
      </c>
      <c r="U44" s="2"/>
      <c r="V44" s="7">
        <f t="shared" si="33"/>
        <v>6.5125366330185605E-2</v>
      </c>
      <c r="W44" s="2"/>
      <c r="X44" s="6">
        <f t="shared" si="34"/>
        <v>-200</v>
      </c>
      <c r="Y44" s="2"/>
      <c r="Z44" s="7">
        <f t="shared" si="35"/>
        <v>-1</v>
      </c>
    </row>
    <row r="45" spans="1:26" s="29" customFormat="1" outlineLevel="1" collapsed="1" x14ac:dyDescent="0.25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60</v>
      </c>
      <c r="E45" s="1"/>
      <c r="F45" s="5">
        <f t="shared" si="28"/>
        <v>0</v>
      </c>
      <c r="G45" s="1"/>
      <c r="H45" s="1">
        <f>SUM(OSRRefH22_3x_0)</f>
        <v>93</v>
      </c>
      <c r="I45" s="1"/>
      <c r="J45" s="5">
        <f t="shared" si="29"/>
        <v>3.0283295343536309E-2</v>
      </c>
      <c r="K45" s="1"/>
      <c r="L45" s="1">
        <f t="shared" si="30"/>
        <v>-33</v>
      </c>
      <c r="M45" s="1"/>
      <c r="N45" s="5">
        <f t="shared" si="31"/>
        <v>-0.35483870967741937</v>
      </c>
      <c r="O45" s="14"/>
      <c r="P45" s="1">
        <f>SUM(OSRRefP22_3x_0)</f>
        <v>120</v>
      </c>
      <c r="Q45" s="1"/>
      <c r="R45" s="5">
        <f t="shared" si="32"/>
        <v>0</v>
      </c>
      <c r="S45" s="1"/>
      <c r="T45" s="1">
        <f>SUM(OSRRefT22_3x_0)</f>
        <v>93</v>
      </c>
      <c r="U45" s="1"/>
      <c r="V45" s="5">
        <f t="shared" si="33"/>
        <v>3.0283295343536309E-2</v>
      </c>
      <c r="W45" s="1"/>
      <c r="X45" s="1">
        <f t="shared" si="34"/>
        <v>27</v>
      </c>
      <c r="Y45" s="1"/>
      <c r="Z45" s="5">
        <f t="shared" si="35"/>
        <v>0.29032258064516131</v>
      </c>
    </row>
    <row r="46" spans="1:26" s="24" customFormat="1" hidden="1" outlineLevel="2" x14ac:dyDescent="0.25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60</v>
      </c>
      <c r="E46" s="2"/>
      <c r="F46" s="7">
        <f t="shared" si="28"/>
        <v>0</v>
      </c>
      <c r="G46" s="2"/>
      <c r="H46" s="6">
        <v>93</v>
      </c>
      <c r="I46" s="2"/>
      <c r="J46" s="7">
        <f t="shared" si="29"/>
        <v>3.0283295343536309E-2</v>
      </c>
      <c r="K46" s="2"/>
      <c r="L46" s="6">
        <f t="shared" si="30"/>
        <v>-33</v>
      </c>
      <c r="M46" s="2"/>
      <c r="N46" s="7">
        <f t="shared" si="31"/>
        <v>-0.35483870967741937</v>
      </c>
      <c r="O46" s="11"/>
      <c r="P46" s="6">
        <v>120</v>
      </c>
      <c r="Q46" s="2"/>
      <c r="R46" s="7">
        <f t="shared" si="32"/>
        <v>0</v>
      </c>
      <c r="S46" s="2"/>
      <c r="T46" s="6">
        <v>93</v>
      </c>
      <c r="U46" s="2"/>
      <c r="V46" s="7">
        <f t="shared" si="33"/>
        <v>3.0283295343536309E-2</v>
      </c>
      <c r="W46" s="2"/>
      <c r="X46" s="6">
        <f t="shared" si="34"/>
        <v>27</v>
      </c>
      <c r="Y46" s="2"/>
      <c r="Z46" s="7">
        <f t="shared" si="35"/>
        <v>0.29032258064516131</v>
      </c>
    </row>
    <row r="47" spans="1:26" s="29" customFormat="1" outlineLevel="1" collapsed="1" x14ac:dyDescent="0.25">
      <c r="A47" s="28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3.94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3.94</v>
      </c>
      <c r="M47" s="1"/>
      <c r="N47" s="5">
        <f t="shared" si="31"/>
        <v>0</v>
      </c>
      <c r="O47" s="14"/>
      <c r="P47" s="1">
        <f>SUM(OSRRefP22_4x_0)</f>
        <v>3.94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3.94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"6305", " - ", "FREIGHT OUT")</f>
        <v xml:space="preserve">          6305 - FREIGHT OUT</v>
      </c>
      <c r="C48" s="11"/>
      <c r="D48" s="6">
        <v>3.94</v>
      </c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3.94</v>
      </c>
      <c r="M48" s="2"/>
      <c r="N48" s="7">
        <f t="shared" si="31"/>
        <v>0</v>
      </c>
      <c r="O48" s="11"/>
      <c r="P48" s="6">
        <v>3.94</v>
      </c>
      <c r="Q48" s="2"/>
      <c r="R48" s="7">
        <f t="shared" si="32"/>
        <v>0</v>
      </c>
      <c r="S48" s="2"/>
      <c r="T48" s="6"/>
      <c r="U48" s="2"/>
      <c r="V48" s="7">
        <f t="shared" si="33"/>
        <v>0</v>
      </c>
      <c r="W48" s="2"/>
      <c r="X48" s="6">
        <f t="shared" si="34"/>
        <v>3.94</v>
      </c>
      <c r="Y48" s="2"/>
      <c r="Z48" s="7">
        <f t="shared" si="35"/>
        <v>0</v>
      </c>
    </row>
    <row r="49" spans="1:26" s="29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0.43959622272875287</v>
      </c>
      <c r="W49" s="1"/>
      <c r="X49" s="1">
        <f t="shared" si="34"/>
        <v>-1350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8"/>
        <v>0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1350</v>
      </c>
      <c r="U50" s="2"/>
      <c r="V50" s="7">
        <f t="shared" si="33"/>
        <v>0.43959622272875287</v>
      </c>
      <c r="W50" s="2"/>
      <c r="X50" s="6">
        <f t="shared" si="34"/>
        <v>-1350</v>
      </c>
      <c r="Y50" s="2"/>
      <c r="Z50" s="7">
        <f t="shared" si="35"/>
        <v>-1</v>
      </c>
    </row>
    <row r="51" spans="1:26" s="29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1.1396939107782481E-2</v>
      </c>
      <c r="K51" s="1"/>
      <c r="L51" s="1">
        <f t="shared" si="30"/>
        <v>-35</v>
      </c>
      <c r="M51" s="1"/>
      <c r="N51" s="5">
        <f t="shared" si="31"/>
        <v>-1</v>
      </c>
      <c r="O51" s="14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35</v>
      </c>
      <c r="U51" s="1"/>
      <c r="V51" s="5">
        <f t="shared" si="33"/>
        <v>1.1396939107782481E-2</v>
      </c>
      <c r="W51" s="1"/>
      <c r="X51" s="1">
        <f t="shared" si="34"/>
        <v>-35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8"/>
        <v>0</v>
      </c>
      <c r="G52" s="2"/>
      <c r="H52" s="6">
        <v>35</v>
      </c>
      <c r="I52" s="2"/>
      <c r="J52" s="7">
        <f t="shared" si="29"/>
        <v>1.1396939107782481E-2</v>
      </c>
      <c r="K52" s="2"/>
      <c r="L52" s="6">
        <f t="shared" si="30"/>
        <v>-35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35</v>
      </c>
      <c r="U52" s="2"/>
      <c r="V52" s="7">
        <f t="shared" si="33"/>
        <v>1.1396939107782481E-2</v>
      </c>
      <c r="W52" s="2"/>
      <c r="X52" s="6">
        <f t="shared" si="34"/>
        <v>-35</v>
      </c>
      <c r="Y52" s="2"/>
      <c r="Z52" s="7">
        <f t="shared" si="35"/>
        <v>-1</v>
      </c>
    </row>
    <row r="53" spans="1:26" s="29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SUM(OSRRefD22_7x_0)</f>
        <v>0</v>
      </c>
      <c r="E53" s="1"/>
      <c r="F53" s="5">
        <f t="shared" si="28"/>
        <v>0</v>
      </c>
      <c r="G53" s="1"/>
      <c r="H53" s="1">
        <f>SUM(OSRRefH22_7x_0)</f>
        <v>163</v>
      </c>
      <c r="I53" s="1"/>
      <c r="J53" s="5">
        <f t="shared" si="29"/>
        <v>5.3077173559101271E-2</v>
      </c>
      <c r="K53" s="1"/>
      <c r="L53" s="1">
        <f t="shared" si="30"/>
        <v>-163</v>
      </c>
      <c r="M53" s="1"/>
      <c r="N53" s="5">
        <f t="shared" si="31"/>
        <v>-1</v>
      </c>
      <c r="O53" s="14"/>
      <c r="P53" s="1">
        <f>SUM(OSRRefP22_7x_0)</f>
        <v>0</v>
      </c>
      <c r="Q53" s="1"/>
      <c r="R53" s="5">
        <f t="shared" si="32"/>
        <v>0</v>
      </c>
      <c r="S53" s="1"/>
      <c r="T53" s="1">
        <f>SUM(OSRRefT22_7x_0)</f>
        <v>326</v>
      </c>
      <c r="U53" s="1"/>
      <c r="V53" s="5">
        <f t="shared" si="33"/>
        <v>0.10615434711820254</v>
      </c>
      <c r="W53" s="1"/>
      <c r="X53" s="1">
        <f t="shared" si="34"/>
        <v>-326</v>
      </c>
      <c r="Y53" s="1"/>
      <c r="Z53" s="5">
        <f t="shared" si="35"/>
        <v>-1</v>
      </c>
    </row>
    <row r="54" spans="1:26" s="24" customFormat="1" hidden="1" outlineLevel="2" x14ac:dyDescent="0.25">
      <c r="A54" s="27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28"/>
        <v>0</v>
      </c>
      <c r="G54" s="2"/>
      <c r="H54" s="6">
        <v>163</v>
      </c>
      <c r="I54" s="2"/>
      <c r="J54" s="7">
        <f t="shared" si="29"/>
        <v>5.3077173559101271E-2</v>
      </c>
      <c r="K54" s="2"/>
      <c r="L54" s="6">
        <f t="shared" si="30"/>
        <v>-163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326</v>
      </c>
      <c r="U54" s="2"/>
      <c r="V54" s="7">
        <f t="shared" si="33"/>
        <v>0.10615434711820254</v>
      </c>
      <c r="W54" s="2"/>
      <c r="X54" s="6">
        <f t="shared" si="34"/>
        <v>-326</v>
      </c>
      <c r="Y54" s="2"/>
      <c r="Z54" s="7">
        <f t="shared" si="35"/>
        <v>-1</v>
      </c>
    </row>
    <row r="55" spans="1:26" s="29" customFormat="1" outlineLevel="1" collapsed="1" x14ac:dyDescent="0.25">
      <c r="A55" s="28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si="28"/>
        <v>0</v>
      </c>
      <c r="G55" s="1"/>
      <c r="H55" s="1">
        <f>SUM(OSRRefH22_8x_0)</f>
        <v>410</v>
      </c>
      <c r="I55" s="1"/>
      <c r="J55" s="5">
        <f t="shared" si="29"/>
        <v>0.13350700097688051</v>
      </c>
      <c r="K55" s="1"/>
      <c r="L55" s="1">
        <f t="shared" si="30"/>
        <v>-410</v>
      </c>
      <c r="M55" s="1"/>
      <c r="N55" s="5">
        <f t="shared" si="31"/>
        <v>-1</v>
      </c>
      <c r="O55" s="14"/>
      <c r="P55" s="1">
        <f>SUM(OSRRefP22_8x_0)</f>
        <v>0</v>
      </c>
      <c r="Q55" s="1"/>
      <c r="R55" s="5">
        <f t="shared" si="32"/>
        <v>0</v>
      </c>
      <c r="S55" s="1"/>
      <c r="T55" s="1">
        <f>SUM(OSRRefT22_8x_0)</f>
        <v>920</v>
      </c>
      <c r="U55" s="1"/>
      <c r="V55" s="5">
        <f t="shared" si="33"/>
        <v>0.29957668511885377</v>
      </c>
      <c r="W55" s="1"/>
      <c r="X55" s="1">
        <f t="shared" si="34"/>
        <v>-920</v>
      </c>
      <c r="Y55" s="1"/>
      <c r="Z55" s="5">
        <f t="shared" si="35"/>
        <v>-1</v>
      </c>
    </row>
    <row r="56" spans="1:26" s="24" customFormat="1" hidden="1" outlineLevel="2" x14ac:dyDescent="0.25">
      <c r="A56" s="27"/>
      <c r="B56" s="11" t="str">
        <f>CONCATENATE("          ", "6235", " - ", "COVID-19 EXPENSES")</f>
        <v xml:space="preserve">          6235 - COVID-19 EXPENSES</v>
      </c>
      <c r="C56" s="11"/>
      <c r="D56" s="6"/>
      <c r="E56" s="2"/>
      <c r="F56" s="7">
        <f t="shared" si="28"/>
        <v>0</v>
      </c>
      <c r="G56" s="2"/>
      <c r="H56" s="6">
        <v>0</v>
      </c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/>
      <c r="Q56" s="2"/>
      <c r="R56" s="7">
        <f t="shared" si="32"/>
        <v>0</v>
      </c>
      <c r="S56" s="2"/>
      <c r="T56" s="6">
        <v>0</v>
      </c>
      <c r="U56" s="2"/>
      <c r="V56" s="7">
        <f t="shared" si="33"/>
        <v>0</v>
      </c>
      <c r="W56" s="2"/>
      <c r="X56" s="6">
        <f t="shared" si="34"/>
        <v>0</v>
      </c>
      <c r="Y56" s="2"/>
      <c r="Z56" s="7">
        <f t="shared" si="35"/>
        <v>0</v>
      </c>
    </row>
    <row r="57" spans="1:26" s="24" customFormat="1" hidden="1" outlineLevel="2" x14ac:dyDescent="0.25">
      <c r="A57" s="27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28"/>
        <v>0</v>
      </c>
      <c r="G57" s="2"/>
      <c r="H57" s="6">
        <v>410</v>
      </c>
      <c r="I57" s="2"/>
      <c r="J57" s="7">
        <f t="shared" si="29"/>
        <v>0.13350700097688051</v>
      </c>
      <c r="K57" s="2"/>
      <c r="L57" s="6">
        <f t="shared" si="30"/>
        <v>-410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920</v>
      </c>
      <c r="U57" s="2"/>
      <c r="V57" s="7">
        <f t="shared" si="33"/>
        <v>0.29957668511885377</v>
      </c>
      <c r="W57" s="2"/>
      <c r="X57" s="6">
        <f t="shared" si="34"/>
        <v>-920</v>
      </c>
      <c r="Y57" s="2"/>
      <c r="Z57" s="7">
        <f t="shared" si="35"/>
        <v>-1</v>
      </c>
    </row>
    <row r="58" spans="1:26" s="24" customFormat="1" hidden="1" outlineLevel="2" x14ac:dyDescent="0.25">
      <c r="A58" s="27"/>
      <c r="B58" s="11" t="str">
        <f>CONCATENATE("          ", "6248", " - ", "UNIFORMS")</f>
        <v xml:space="preserve">          6248 - UNIFORMS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9" customFormat="1" outlineLevel="1" collapsed="1" x14ac:dyDescent="0.25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SUM(OSRRefD22_9x_0)</f>
        <v>122.05</v>
      </c>
      <c r="E59" s="1"/>
      <c r="F59" s="5">
        <f t="shared" ref="F59:F61" si="36">IF(D$12=0,0,D59/D$12)</f>
        <v>0</v>
      </c>
      <c r="G59" s="1"/>
      <c r="H59" s="1">
        <f>SUM(OSRRefH22_9x_0)</f>
        <v>120</v>
      </c>
      <c r="I59" s="1"/>
      <c r="J59" s="5">
        <f t="shared" ref="J59:J61" si="37">IF(H$12=0,0,H59/H$12)</f>
        <v>3.9075219798111363E-2</v>
      </c>
      <c r="K59" s="1"/>
      <c r="L59" s="1">
        <f t="shared" ref="L59:L61" si="38">+D59-H59</f>
        <v>2.0499999999999972</v>
      </c>
      <c r="M59" s="1"/>
      <c r="N59" s="5">
        <f t="shared" ref="N59:N61" si="39">IF(H59=0,0,L59/H59)</f>
        <v>1.7083333333333308E-2</v>
      </c>
      <c r="O59" s="14"/>
      <c r="P59" s="1">
        <f>SUM(OSRRefP22_9x_0)</f>
        <v>244.35</v>
      </c>
      <c r="Q59" s="1"/>
      <c r="R59" s="5">
        <f t="shared" ref="R59:R61" si="40">IF(P$12=0,0,P59/P$12)</f>
        <v>0</v>
      </c>
      <c r="S59" s="1"/>
      <c r="T59" s="1">
        <f>SUM(OSRRefT22_9x_0)</f>
        <v>240</v>
      </c>
      <c r="U59" s="1"/>
      <c r="V59" s="5">
        <f t="shared" ref="V59:V61" si="41">IF(T$12=0,0,T59/T$12)</f>
        <v>7.8150439596222726E-2</v>
      </c>
      <c r="W59" s="1"/>
      <c r="X59" s="1">
        <f t="shared" ref="X59:X61" si="42">+P59-T59</f>
        <v>4.3499999999999943</v>
      </c>
      <c r="Y59" s="1"/>
      <c r="Z59" s="5">
        <f t="shared" ref="Z59:Z61" si="43">IF(T59=0,0,X59/T59)</f>
        <v>1.8124999999999978E-2</v>
      </c>
    </row>
    <row r="60" spans="1:26" s="24" customFormat="1" hidden="1" outlineLevel="2" x14ac:dyDescent="0.25">
      <c r="A60" s="27"/>
      <c r="B60" s="11" t="str">
        <f>CONCATENATE("          ", "6303", " - ", "DATA PHONE LINES")</f>
        <v xml:space="preserve">          6303 - DATA PHONE LINES</v>
      </c>
      <c r="C60" s="11"/>
      <c r="D60" s="6"/>
      <c r="E60" s="2"/>
      <c r="F60" s="7">
        <f t="shared" si="36"/>
        <v>0</v>
      </c>
      <c r="G60" s="2"/>
      <c r="H60" s="6">
        <v>120</v>
      </c>
      <c r="I60" s="2"/>
      <c r="J60" s="7">
        <f t="shared" si="37"/>
        <v>3.9075219798111363E-2</v>
      </c>
      <c r="K60" s="2"/>
      <c r="L60" s="6">
        <f t="shared" si="38"/>
        <v>-120</v>
      </c>
      <c r="M60" s="2"/>
      <c r="N60" s="7">
        <f t="shared" si="39"/>
        <v>-1</v>
      </c>
      <c r="O60" s="11"/>
      <c r="P60" s="6"/>
      <c r="Q60" s="2"/>
      <c r="R60" s="7">
        <f t="shared" si="40"/>
        <v>0</v>
      </c>
      <c r="S60" s="2"/>
      <c r="T60" s="6">
        <v>240</v>
      </c>
      <c r="U60" s="2"/>
      <c r="V60" s="7">
        <f t="shared" si="41"/>
        <v>7.8150439596222726E-2</v>
      </c>
      <c r="W60" s="2"/>
      <c r="X60" s="6">
        <f t="shared" si="42"/>
        <v>-240</v>
      </c>
      <c r="Y60" s="2"/>
      <c r="Z60" s="7">
        <f t="shared" si="43"/>
        <v>-1</v>
      </c>
    </row>
    <row r="61" spans="1:26" s="24" customFormat="1" hidden="1" outlineLevel="2" x14ac:dyDescent="0.25">
      <c r="A61" s="27"/>
      <c r="B61" s="11" t="str">
        <f>CONCATENATE("          ", "6309", " - ", "TELEPHONE")</f>
        <v xml:space="preserve">          6309 - TELEPHONE</v>
      </c>
      <c r="C61" s="11"/>
      <c r="D61" s="6">
        <v>122.05</v>
      </c>
      <c r="E61" s="2"/>
      <c r="F61" s="7">
        <f t="shared" si="36"/>
        <v>0</v>
      </c>
      <c r="G61" s="2"/>
      <c r="H61" s="6"/>
      <c r="I61" s="2"/>
      <c r="J61" s="7">
        <f t="shared" si="37"/>
        <v>0</v>
      </c>
      <c r="K61" s="2"/>
      <c r="L61" s="6">
        <f t="shared" si="38"/>
        <v>122.05</v>
      </c>
      <c r="M61" s="2"/>
      <c r="N61" s="7">
        <f t="shared" si="39"/>
        <v>0</v>
      </c>
      <c r="O61" s="11"/>
      <c r="P61" s="6">
        <v>244.35</v>
      </c>
      <c r="Q61" s="2"/>
      <c r="R61" s="7">
        <f t="shared" si="40"/>
        <v>0</v>
      </c>
      <c r="S61" s="2"/>
      <c r="T61" s="6"/>
      <c r="U61" s="2"/>
      <c r="V61" s="7">
        <f t="shared" si="41"/>
        <v>0</v>
      </c>
      <c r="W61" s="2"/>
      <c r="X61" s="6">
        <f t="shared" si="42"/>
        <v>244.35</v>
      </c>
      <c r="Y61" s="2"/>
      <c r="Z61" s="7">
        <f t="shared" si="43"/>
        <v>0</v>
      </c>
    </row>
    <row r="62" spans="1:26" s="29" customFormat="1" outlineLevel="1" collapsed="1" x14ac:dyDescent="0.25">
      <c r="A62" s="28"/>
      <c r="B62" s="14" t="str">
        <f>CONCATENATE("     ","Training                                          ")</f>
        <v xml:space="preserve">     Training                                          </v>
      </c>
      <c r="C62" s="14"/>
      <c r="D62" s="1">
        <f>SUM(OSRRefD22_10x_0)</f>
        <v>0</v>
      </c>
      <c r="E62" s="1"/>
      <c r="F62" s="5">
        <f t="shared" ref="F62:F63" si="44">IF(D$12=0,0,D62/D$12)</f>
        <v>0</v>
      </c>
      <c r="G62" s="1"/>
      <c r="H62" s="1">
        <f>SUM(OSRRefH22_10x_0)</f>
        <v>60</v>
      </c>
      <c r="I62" s="1"/>
      <c r="J62" s="5">
        <f t="shared" ref="J62:J63" si="45">IF(H$12=0,0,H62/H$12)</f>
        <v>1.9537609899055682E-2</v>
      </c>
      <c r="K62" s="1"/>
      <c r="L62" s="1">
        <f t="shared" ref="L62:L63" si="46">+D62-H62</f>
        <v>-60</v>
      </c>
      <c r="M62" s="1"/>
      <c r="N62" s="5">
        <f t="shared" ref="N62:N63" si="47">IF(H62=0,0,L62/H62)</f>
        <v>-1</v>
      </c>
      <c r="O62" s="14"/>
      <c r="P62" s="1">
        <f>SUM(OSRRefP22_10x_0)</f>
        <v>0</v>
      </c>
      <c r="Q62" s="1"/>
      <c r="R62" s="5">
        <f t="shared" ref="R62:R63" si="48">IF(P$12=0,0,P62/P$12)</f>
        <v>0</v>
      </c>
      <c r="S62" s="1"/>
      <c r="T62" s="1">
        <f>SUM(OSRRefT22_10x_0)</f>
        <v>60</v>
      </c>
      <c r="U62" s="1"/>
      <c r="V62" s="5">
        <f t="shared" ref="V62:V63" si="49">IF(T$12=0,0,T62/T$12)</f>
        <v>1.9537609899055682E-2</v>
      </c>
      <c r="W62" s="1"/>
      <c r="X62" s="1">
        <f t="shared" ref="X62:X63" si="50">+P62-T62</f>
        <v>-60</v>
      </c>
      <c r="Y62" s="1"/>
      <c r="Z62" s="5">
        <f t="shared" ref="Z62:Z63" si="51">IF(T62=0,0,X62/T62)</f>
        <v>-1</v>
      </c>
    </row>
    <row r="63" spans="1:26" s="24" customFormat="1" hidden="1" outlineLevel="2" x14ac:dyDescent="0.25">
      <c r="A63" s="27"/>
      <c r="B63" s="11" t="str">
        <f>CONCATENATE("          ", "6376", " - ", "TRAINING")</f>
        <v xml:space="preserve">          6376 - TRAINING</v>
      </c>
      <c r="C63" s="11"/>
      <c r="D63" s="6"/>
      <c r="E63" s="2"/>
      <c r="F63" s="7">
        <f t="shared" si="44"/>
        <v>0</v>
      </c>
      <c r="G63" s="2"/>
      <c r="H63" s="6">
        <v>60</v>
      </c>
      <c r="I63" s="2"/>
      <c r="J63" s="7">
        <f t="shared" si="45"/>
        <v>1.9537609899055682E-2</v>
      </c>
      <c r="K63" s="2"/>
      <c r="L63" s="6">
        <f t="shared" si="46"/>
        <v>-60</v>
      </c>
      <c r="M63" s="2"/>
      <c r="N63" s="7">
        <f t="shared" si="47"/>
        <v>-1</v>
      </c>
      <c r="O63" s="11"/>
      <c r="P63" s="6"/>
      <c r="Q63" s="2"/>
      <c r="R63" s="7">
        <f t="shared" si="48"/>
        <v>0</v>
      </c>
      <c r="S63" s="2"/>
      <c r="T63" s="6">
        <v>60</v>
      </c>
      <c r="U63" s="2"/>
      <c r="V63" s="7">
        <f t="shared" si="49"/>
        <v>1.9537609899055682E-2</v>
      </c>
      <c r="W63" s="2"/>
      <c r="X63" s="6">
        <f t="shared" si="50"/>
        <v>-60</v>
      </c>
      <c r="Y63" s="2"/>
      <c r="Z63" s="7">
        <f t="shared" si="51"/>
        <v>-1</v>
      </c>
    </row>
    <row r="64" spans="1:26" s="61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2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2" customFormat="1" x14ac:dyDescent="0.25">
      <c r="A67" s="10"/>
      <c r="B67" s="26" t="s">
        <v>3</v>
      </c>
      <c r="C67" s="26"/>
      <c r="D67" s="21">
        <f>+D19-D21+D65</f>
        <v>-9064.48</v>
      </c>
      <c r="E67" s="13"/>
      <c r="F67" s="20">
        <f>IF(D$12=0,0,D67/D$12)</f>
        <v>0</v>
      </c>
      <c r="G67" s="13"/>
      <c r="H67" s="21">
        <f>+H19-H21+H65</f>
        <v>-11239.71838</v>
      </c>
      <c r="I67" s="13"/>
      <c r="J67" s="20">
        <f>IF(H$12=0,0,H67/H$12)</f>
        <v>-3.6599538847281017</v>
      </c>
      <c r="K67" s="16"/>
      <c r="L67" s="21">
        <f>+D67-H67</f>
        <v>2175.2383800000007</v>
      </c>
      <c r="M67" s="16"/>
      <c r="N67" s="20">
        <f>IF(H67=0,0,L67/H67)</f>
        <v>-0.19353139522344515</v>
      </c>
      <c r="O67" s="25"/>
      <c r="P67" s="21">
        <f>+P19-P21+P65</f>
        <v>-18741.64</v>
      </c>
      <c r="Q67" s="13"/>
      <c r="R67" s="20">
        <f>IF(P$12=0,0,P67/P$12)</f>
        <v>0</v>
      </c>
      <c r="S67" s="13"/>
      <c r="T67" s="21">
        <f>+T19-T21+T65</f>
        <v>-23872.824105</v>
      </c>
      <c r="U67" s="13"/>
      <c r="V67" s="20">
        <f>IF(T$12=0,0,T67/T$12)</f>
        <v>-7.7736320758710518</v>
      </c>
      <c r="W67" s="16"/>
      <c r="X67" s="21">
        <f>+P67-T67</f>
        <v>5131.1841050000003</v>
      </c>
      <c r="Y67" s="16"/>
      <c r="Z67" s="20">
        <f>IF(T67=0,0,X67/T67)</f>
        <v>-0.21493829479208154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2" customFormat="1" x14ac:dyDescent="0.25">
      <c r="A69" s="52"/>
      <c r="B69" s="10" t="s">
        <v>14</v>
      </c>
      <c r="C69" s="10"/>
      <c r="D69" s="4"/>
      <c r="E69" s="4"/>
      <c r="F69" s="12">
        <f>IF(D$12=0,0,D69/D$12)</f>
        <v>0</v>
      </c>
      <c r="G69" s="4"/>
      <c r="H69" s="4">
        <v>502</v>
      </c>
      <c r="I69" s="4"/>
      <c r="J69" s="12">
        <f>IF(H$12=0,0,H69/H$12)</f>
        <v>0.16346466948876587</v>
      </c>
      <c r="K69" s="4"/>
      <c r="L69" s="4">
        <f>+D69-H69</f>
        <v>-502</v>
      </c>
      <c r="M69" s="4"/>
      <c r="N69" s="12">
        <f>IF(H69=0,0,L69/H69)</f>
        <v>-1</v>
      </c>
      <c r="O69" s="10"/>
      <c r="P69" s="4"/>
      <c r="Q69" s="4"/>
      <c r="R69" s="12">
        <f>IF(P$12=0,0,P69/P$12)</f>
        <v>0</v>
      </c>
      <c r="S69" s="4"/>
      <c r="T69" s="4">
        <v>502</v>
      </c>
      <c r="U69" s="4"/>
      <c r="V69" s="12">
        <f>IF(T$12=0,0,T69/T$12)</f>
        <v>0.16346466948876587</v>
      </c>
      <c r="W69" s="4"/>
      <c r="X69" s="4">
        <f>+P69-T69</f>
        <v>-502</v>
      </c>
      <c r="Y69" s="4"/>
      <c r="Z69" s="12">
        <f>IF(T69=0,0,X69/T69)</f>
        <v>-1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2" customFormat="1" ht="15.75" thickBot="1" x14ac:dyDescent="0.3">
      <c r="A71" s="10"/>
      <c r="B71" s="26" t="s">
        <v>4</v>
      </c>
      <c r="C71" s="26"/>
      <c r="D71" s="33">
        <f>+D67-D69</f>
        <v>-9064.48</v>
      </c>
      <c r="E71" s="13"/>
      <c r="F71" s="31">
        <f>IF(D$12=0,0,D71/D$12)</f>
        <v>0</v>
      </c>
      <c r="G71" s="13"/>
      <c r="H71" s="33">
        <f>+H67-H69</f>
        <v>-11741.71838</v>
      </c>
      <c r="I71" s="13"/>
      <c r="J71" s="31">
        <f>IF(H$12=0,0,H71/H$12)</f>
        <v>-3.8234185542168677</v>
      </c>
      <c r="K71" s="16"/>
      <c r="L71" s="33">
        <f>D71-H71</f>
        <v>2677.2383800000007</v>
      </c>
      <c r="M71" s="16"/>
      <c r="N71" s="31">
        <f>IF(H71=0,0,L71/H71)</f>
        <v>-0.22801078116131759</v>
      </c>
      <c r="O71" s="25"/>
      <c r="P71" s="33">
        <f>+P67-P69</f>
        <v>-18741.64</v>
      </c>
      <c r="Q71" s="13"/>
      <c r="R71" s="31">
        <f>IF(P$12=0,0,P71/P$12)</f>
        <v>0</v>
      </c>
      <c r="S71" s="13"/>
      <c r="T71" s="33">
        <f>+T67-T69</f>
        <v>-24374.824105</v>
      </c>
      <c r="U71" s="13"/>
      <c r="V71" s="31">
        <f>IF(T$12=0,0,T71/T$12)</f>
        <v>-7.9370967453598178</v>
      </c>
      <c r="W71" s="16"/>
      <c r="X71" s="33">
        <f>P71-T71</f>
        <v>5633.1841050000003</v>
      </c>
      <c r="Y71" s="16"/>
      <c r="Z71" s="31">
        <f>IF(T71=0,0,X71/T71)</f>
        <v>-0.23110665663611771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2" customFormat="1" ht="15.75" thickBot="1" x14ac:dyDescent="0.3">
      <c r="A74" s="10"/>
      <c r="B74" s="26" t="s">
        <v>5</v>
      </c>
      <c r="C74" s="26"/>
      <c r="D74" s="32">
        <f>SUM(D71:D73)</f>
        <v>-9064.48</v>
      </c>
      <c r="E74" s="13"/>
      <c r="F74" s="35">
        <f>IF(D$12=0,0,D74/D$12)</f>
        <v>0</v>
      </c>
      <c r="G74" s="13"/>
      <c r="H74" s="32">
        <f>SUM(H71:H73)</f>
        <v>-11741.71838</v>
      </c>
      <c r="I74" s="13"/>
      <c r="J74" s="35">
        <f>IF(H$12=0,0,H74/H$12)</f>
        <v>-3.8234185542168677</v>
      </c>
      <c r="K74" s="16"/>
      <c r="L74" s="32">
        <f>+D74-H74</f>
        <v>2677.2383800000007</v>
      </c>
      <c r="M74" s="16"/>
      <c r="N74" s="35">
        <f>IF(H74=0,0,L74/H74)</f>
        <v>-0.22801078116131759</v>
      </c>
      <c r="O74" s="25"/>
      <c r="P74" s="32">
        <f>SUM(P71:P73)</f>
        <v>-18741.64</v>
      </c>
      <c r="Q74" s="13"/>
      <c r="R74" s="35">
        <f>IF(P$12=0,0,P74/P$12)</f>
        <v>0</v>
      </c>
      <c r="S74" s="13"/>
      <c r="T74" s="32">
        <f>SUM(T71:T73)</f>
        <v>-24374.824105</v>
      </c>
      <c r="U74" s="13"/>
      <c r="V74" s="35">
        <f>IF(T$12=0,0,T74/T$12)</f>
        <v>-7.9370967453598178</v>
      </c>
      <c r="W74" s="16"/>
      <c r="X74" s="32">
        <f>+P74-T74</f>
        <v>5633.1841050000003</v>
      </c>
      <c r="Y74" s="16"/>
      <c r="Z74" s="35">
        <f>IF(T74=0,0,X74/T74)</f>
        <v>-0.23110665663611771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59">
        <v>44113.689465127318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2" t="s">
        <v>314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3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","321", " - ", "Student Union C-Store")</f>
        <v>Department 321 - Student Union C-Store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714</v>
      </c>
      <c r="E12" s="4"/>
      <c r="F12" s="12"/>
      <c r="G12" s="4"/>
      <c r="H12" s="4">
        <f>SUM(OSRRefH13x_0)</f>
        <v>1457</v>
      </c>
      <c r="I12" s="4"/>
      <c r="J12" s="12"/>
      <c r="K12" s="4"/>
      <c r="L12" s="4">
        <f t="shared" ref="L12:L15" si="0">+D12-H12</f>
        <v>-743</v>
      </c>
      <c r="M12" s="4"/>
      <c r="N12" s="12">
        <f t="shared" ref="N12:N15" si="1">IF(H12=0,0,L12/H12)</f>
        <v>-0.50995195607412491</v>
      </c>
      <c r="O12" s="10"/>
      <c r="P12" s="4">
        <f>SUM(OSRRefP13x_0)</f>
        <v>714</v>
      </c>
      <c r="Q12" s="4"/>
      <c r="R12" s="12"/>
      <c r="S12" s="4"/>
      <c r="T12" s="4">
        <f>SUM(OSRRefT13x_0)</f>
        <v>1457</v>
      </c>
      <c r="U12" s="4"/>
      <c r="V12" s="12"/>
      <c r="W12" s="4"/>
      <c r="X12" s="4">
        <f t="shared" ref="X12:X15" si="2">+P12-T12</f>
        <v>-743</v>
      </c>
      <c r="Y12" s="4"/>
      <c r="Z12" s="12">
        <f t="shared" ref="Z12:Z15" si="3">IF(T12=0,0,X12/T12)</f>
        <v>-0.50995195607412491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>--88.2</f>
        <v>88.2</v>
      </c>
      <c r="E13" s="2"/>
      <c r="F13" s="23"/>
      <c r="G13" s="2"/>
      <c r="H13" s="2"/>
      <c r="I13" s="2"/>
      <c r="J13" s="23"/>
      <c r="K13" s="2"/>
      <c r="L13" s="2">
        <f t="shared" si="0"/>
        <v>88.2</v>
      </c>
      <c r="M13" s="2"/>
      <c r="N13" s="23">
        <f t="shared" si="1"/>
        <v>0</v>
      </c>
      <c r="O13" s="11"/>
      <c r="P13" s="2">
        <f>--88.2</f>
        <v>88.2</v>
      </c>
      <c r="Q13" s="2"/>
      <c r="R13" s="23"/>
      <c r="S13" s="2"/>
      <c r="T13" s="2"/>
      <c r="U13" s="2"/>
      <c r="V13" s="23"/>
      <c r="W13" s="2"/>
      <c r="X13" s="2">
        <f t="shared" si="2"/>
        <v>88.2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3"/>
      <c r="G14" s="2"/>
      <c r="H14" s="2">
        <v>1457</v>
      </c>
      <c r="I14" s="2"/>
      <c r="J14" s="23"/>
      <c r="K14" s="2"/>
      <c r="L14" s="2">
        <f t="shared" si="0"/>
        <v>-1457</v>
      </c>
      <c r="M14" s="2"/>
      <c r="N14" s="23">
        <f t="shared" si="1"/>
        <v>-1</v>
      </c>
      <c r="O14" s="11"/>
      <c r="P14" s="2">
        <f>0</f>
        <v>0</v>
      </c>
      <c r="Q14" s="2"/>
      <c r="R14" s="23"/>
      <c r="S14" s="2"/>
      <c r="T14" s="2">
        <v>1457</v>
      </c>
      <c r="U14" s="2"/>
      <c r="V14" s="23"/>
      <c r="W14" s="2"/>
      <c r="X14" s="2">
        <f t="shared" si="2"/>
        <v>-1457</v>
      </c>
      <c r="Y14" s="2"/>
      <c r="Z14" s="23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>--625.8</f>
        <v>625.79999999999995</v>
      </c>
      <c r="E15" s="2"/>
      <c r="F15" s="23"/>
      <c r="G15" s="2"/>
      <c r="H15" s="2"/>
      <c r="I15" s="2"/>
      <c r="J15" s="23"/>
      <c r="K15" s="2"/>
      <c r="L15" s="2">
        <f t="shared" si="0"/>
        <v>625.79999999999995</v>
      </c>
      <c r="M15" s="2"/>
      <c r="N15" s="23">
        <f t="shared" si="1"/>
        <v>0</v>
      </c>
      <c r="O15" s="11"/>
      <c r="P15" s="2">
        <f>--625.8</f>
        <v>625.79999999999995</v>
      </c>
      <c r="Q15" s="2"/>
      <c r="R15" s="23"/>
      <c r="S15" s="2"/>
      <c r="T15" s="2"/>
      <c r="U15" s="2"/>
      <c r="V15" s="23"/>
      <c r="W15" s="2"/>
      <c r="X15" s="2">
        <f t="shared" si="2"/>
        <v>625.79999999999995</v>
      </c>
      <c r="Y15" s="2"/>
      <c r="Z15" s="23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collapsed="1" x14ac:dyDescent="0.25">
      <c r="A17" s="10"/>
      <c r="B17" s="25" t="s">
        <v>8</v>
      </c>
      <c r="C17" s="10"/>
      <c r="D17" s="4">
        <f>SUM(OSRRefD16x_0)</f>
        <v>186.33</v>
      </c>
      <c r="E17" s="4"/>
      <c r="F17" s="12">
        <f t="shared" ref="F17:F19" si="4">IF(D$12=0,0,D17/D$12)</f>
        <v>0.26096638655462184</v>
      </c>
      <c r="G17" s="4"/>
      <c r="H17" s="4">
        <f>SUM(OSRRefH16x_0)</f>
        <v>757</v>
      </c>
      <c r="I17" s="4"/>
      <c r="J17" s="12">
        <f t="shared" ref="J17:J19" si="5">IF(H$12=0,0,H17/H$12)</f>
        <v>0.51956074124914209</v>
      </c>
      <c r="K17" s="4"/>
      <c r="L17" s="4">
        <f t="shared" ref="L17:L19" si="6">+D17-H17</f>
        <v>-570.66999999999996</v>
      </c>
      <c r="M17" s="4"/>
      <c r="N17" s="12">
        <f t="shared" ref="N17:N19" si="7">IF(H17=0,0,L17/H17)</f>
        <v>-0.75385733157199464</v>
      </c>
      <c r="O17" s="10"/>
      <c r="P17" s="4">
        <f>SUM(OSRRefP16x_0)</f>
        <v>186.33</v>
      </c>
      <c r="Q17" s="4"/>
      <c r="R17" s="12">
        <f t="shared" ref="R17:R19" si="8">IF(P$12=0,0,P17/P$12)</f>
        <v>0.26096638655462184</v>
      </c>
      <c r="S17" s="4"/>
      <c r="T17" s="4">
        <f>SUM(OSRRefT16x_0)</f>
        <v>757</v>
      </c>
      <c r="U17" s="4"/>
      <c r="V17" s="12">
        <f t="shared" ref="V17:V19" si="9">IF(T$12=0,0,T17/T$12)</f>
        <v>0.51956074124914209</v>
      </c>
      <c r="W17" s="4"/>
      <c r="X17" s="4">
        <f t="shared" ref="X17:X19" si="10">+P17-T17</f>
        <v>-570.66999999999996</v>
      </c>
      <c r="Y17" s="4"/>
      <c r="Z17" s="12">
        <f t="shared" ref="Z17:Z19" si="11">IF(T17=0,0,X17/T17)</f>
        <v>-0.75385733157199464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3">
        <f t="shared" si="4"/>
        <v>0</v>
      </c>
      <c r="G18" s="2"/>
      <c r="H18" s="2">
        <v>757</v>
      </c>
      <c r="I18" s="2"/>
      <c r="J18" s="23">
        <f t="shared" si="5"/>
        <v>0.51956074124914209</v>
      </c>
      <c r="K18" s="2"/>
      <c r="L18" s="2">
        <f t="shared" si="6"/>
        <v>-757</v>
      </c>
      <c r="M18" s="2"/>
      <c r="N18" s="23">
        <f t="shared" si="7"/>
        <v>-1</v>
      </c>
      <c r="O18" s="11"/>
      <c r="P18" s="2"/>
      <c r="Q18" s="2"/>
      <c r="R18" s="23">
        <f t="shared" si="8"/>
        <v>0</v>
      </c>
      <c r="S18" s="2"/>
      <c r="T18" s="2">
        <v>757</v>
      </c>
      <c r="U18" s="2"/>
      <c r="V18" s="23">
        <f t="shared" si="9"/>
        <v>0.51956074124914209</v>
      </c>
      <c r="W18" s="2"/>
      <c r="X18" s="2">
        <f t="shared" si="10"/>
        <v>-757</v>
      </c>
      <c r="Y18" s="2"/>
      <c r="Z18" s="23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186.33</v>
      </c>
      <c r="E19" s="2"/>
      <c r="F19" s="23">
        <f t="shared" si="4"/>
        <v>0.26096638655462184</v>
      </c>
      <c r="G19" s="2"/>
      <c r="H19" s="2"/>
      <c r="I19" s="2"/>
      <c r="J19" s="23">
        <f t="shared" si="5"/>
        <v>0</v>
      </c>
      <c r="K19" s="2"/>
      <c r="L19" s="2">
        <f t="shared" si="6"/>
        <v>186.33</v>
      </c>
      <c r="M19" s="2"/>
      <c r="N19" s="23">
        <f t="shared" si="7"/>
        <v>0</v>
      </c>
      <c r="O19" s="11"/>
      <c r="P19" s="2">
        <v>186.33</v>
      </c>
      <c r="Q19" s="2"/>
      <c r="R19" s="23">
        <f t="shared" si="8"/>
        <v>0.26096638655462184</v>
      </c>
      <c r="S19" s="2"/>
      <c r="T19" s="2"/>
      <c r="U19" s="2"/>
      <c r="V19" s="23">
        <f t="shared" si="9"/>
        <v>0</v>
      </c>
      <c r="W19" s="2"/>
      <c r="X19" s="2">
        <f t="shared" si="10"/>
        <v>186.33</v>
      </c>
      <c r="Y19" s="2"/>
      <c r="Z19" s="23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2" customFormat="1" x14ac:dyDescent="0.25">
      <c r="A21" s="10"/>
      <c r="B21" s="26" t="s">
        <v>6</v>
      </c>
      <c r="C21" s="26"/>
      <c r="D21" s="21">
        <f>D12-D17</f>
        <v>527.66999999999996</v>
      </c>
      <c r="E21" s="13"/>
      <c r="F21" s="20">
        <f>IF(D$12=0,0,D21/D$12)</f>
        <v>0.7390336134453781</v>
      </c>
      <c r="G21" s="13"/>
      <c r="H21" s="21">
        <f>H12-H17</f>
        <v>700</v>
      </c>
      <c r="I21" s="13"/>
      <c r="J21" s="20">
        <f>IF(H$12=0,0,H21/H$12)</f>
        <v>0.48043925875085791</v>
      </c>
      <c r="K21" s="16"/>
      <c r="L21" s="21">
        <f>+D21-H21</f>
        <v>-172.33000000000004</v>
      </c>
      <c r="M21" s="16"/>
      <c r="N21" s="20">
        <f>IF(H21=0,0,L21/H21)</f>
        <v>-0.24618571428571434</v>
      </c>
      <c r="O21" s="25"/>
      <c r="P21" s="21">
        <f>P12-P17</f>
        <v>527.66999999999996</v>
      </c>
      <c r="Q21" s="13"/>
      <c r="R21" s="20">
        <f>IF(P$12=0,0,P21/P$12)</f>
        <v>0.7390336134453781</v>
      </c>
      <c r="S21" s="13"/>
      <c r="T21" s="21">
        <f>T12-T17</f>
        <v>700</v>
      </c>
      <c r="U21" s="13"/>
      <c r="V21" s="20">
        <f>IF(T$12=0,0,T21/T$12)</f>
        <v>0.48043925875085791</v>
      </c>
      <c r="W21" s="16"/>
      <c r="X21" s="21">
        <f>+P21-T21</f>
        <v>-172.33000000000004</v>
      </c>
      <c r="Y21" s="16"/>
      <c r="Z21" s="20">
        <f>IF(T21=0,0,X21/T21)</f>
        <v>-0.24618571428571434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2" customFormat="1" x14ac:dyDescent="0.25">
      <c r="A23" s="10"/>
      <c r="B23" s="25" t="s">
        <v>9</v>
      </c>
      <c r="C23" s="10"/>
      <c r="D23" s="19">
        <f>SUM(OSRRefD22x_0)</f>
        <v>8104.16</v>
      </c>
      <c r="E23" s="19"/>
      <c r="F23" s="30">
        <f t="shared" ref="F23:F33" si="12">IF(D$12=0,0,D23/D$12)</f>
        <v>11.350364145658263</v>
      </c>
      <c r="G23" s="19"/>
      <c r="H23" s="19">
        <f>SUM(OSRRefH22x_0)</f>
        <v>6684.9114821000003</v>
      </c>
      <c r="I23" s="19"/>
      <c r="J23" s="30">
        <f t="shared" ref="J23:J33" si="13">IF(H$12=0,0,H23/H$12)</f>
        <v>4.5881341675360332</v>
      </c>
      <c r="K23" s="4"/>
      <c r="L23" s="19">
        <f t="shared" ref="L23:L33" si="14">+D23-H23</f>
        <v>1419.2485178999996</v>
      </c>
      <c r="M23" s="4"/>
      <c r="N23" s="30">
        <f t="shared" ref="N23:N33" si="15">IF(H23=0,0,L23/H23)</f>
        <v>0.21230625442091214</v>
      </c>
      <c r="O23" s="10"/>
      <c r="P23" s="19">
        <f>SUM(OSRRefP22x_0)</f>
        <v>13675.210000000001</v>
      </c>
      <c r="Q23" s="19"/>
      <c r="R23" s="30">
        <f t="shared" ref="R23:R33" si="16">IF(P$12=0,0,P23/P$12)</f>
        <v>19.15295518207283</v>
      </c>
      <c r="S23" s="19"/>
      <c r="T23" s="19">
        <f>SUM(OSRRefT22x_0)</f>
        <v>8884.9114821000003</v>
      </c>
      <c r="U23" s="19"/>
      <c r="V23" s="30">
        <f t="shared" ref="V23:V33" si="17">IF(T$12=0,0,T23/T$12)</f>
        <v>6.098086123610158</v>
      </c>
      <c r="W23" s="4"/>
      <c r="X23" s="19">
        <f t="shared" ref="X23:X33" si="18">+P23-T23</f>
        <v>4790.2985179000007</v>
      </c>
      <c r="Y23" s="4"/>
      <c r="Z23" s="30">
        <f t="shared" ref="Z23:Z33" si="19">IF(T23=0,0,X23/T23)</f>
        <v>0.53914983031072194</v>
      </c>
    </row>
    <row r="24" spans="1:26" s="29" customFormat="1" outlineLevel="1" collapsed="1" x14ac:dyDescent="0.25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2017.6599999999999</v>
      </c>
      <c r="E24" s="1"/>
      <c r="F24" s="5">
        <f t="shared" si="12"/>
        <v>2.8258543417366946</v>
      </c>
      <c r="G24" s="1"/>
      <c r="H24" s="1">
        <f>SUM(OSRRefH22_0x_0)</f>
        <v>339.74148209999998</v>
      </c>
      <c r="I24" s="1"/>
      <c r="J24" s="5">
        <f t="shared" si="13"/>
        <v>0.23317877975291695</v>
      </c>
      <c r="K24" s="1"/>
      <c r="L24" s="1">
        <f t="shared" si="14"/>
        <v>1677.9185178999999</v>
      </c>
      <c r="M24" s="1"/>
      <c r="N24" s="5">
        <f t="shared" si="15"/>
        <v>4.9388096723676478</v>
      </c>
      <c r="O24" s="14"/>
      <c r="P24" s="1">
        <f>SUM(OSRRefP22_0x_0)</f>
        <v>2425.34</v>
      </c>
      <c r="Q24" s="1"/>
      <c r="R24" s="5">
        <f t="shared" si="16"/>
        <v>3.3968347338935576</v>
      </c>
      <c r="S24" s="1"/>
      <c r="T24" s="1">
        <f>SUM(OSRRefT22_0x_0)</f>
        <v>339.74148209999998</v>
      </c>
      <c r="U24" s="1"/>
      <c r="V24" s="5">
        <f t="shared" si="17"/>
        <v>0.23317877975291695</v>
      </c>
      <c r="W24" s="1"/>
      <c r="X24" s="1">
        <f t="shared" si="18"/>
        <v>2085.5985178999999</v>
      </c>
      <c r="Y24" s="1"/>
      <c r="Z24" s="5">
        <f t="shared" si="19"/>
        <v>6.1387808901302252</v>
      </c>
    </row>
    <row r="25" spans="1:26" s="24" customFormat="1" hidden="1" outlineLevel="2" x14ac:dyDescent="0.25">
      <c r="A25" s="27"/>
      <c r="B25" s="11" t="str">
        <f>CONCATENATE("          ", "6111", " - ", "F.I.C.A.")</f>
        <v xml:space="preserve">          6111 - F.I.C.A.</v>
      </c>
      <c r="C25" s="11"/>
      <c r="D25" s="6">
        <v>318.24</v>
      </c>
      <c r="E25" s="2"/>
      <c r="F25" s="7">
        <f t="shared" si="12"/>
        <v>0.44571428571428573</v>
      </c>
      <c r="G25" s="2"/>
      <c r="H25" s="6">
        <v>150.35619510000001</v>
      </c>
      <c r="I25" s="2"/>
      <c r="J25" s="7">
        <f t="shared" si="13"/>
        <v>0.10319574131777626</v>
      </c>
      <c r="K25" s="2"/>
      <c r="L25" s="6">
        <f t="shared" si="14"/>
        <v>167.8838049</v>
      </c>
      <c r="M25" s="2"/>
      <c r="N25" s="7">
        <f t="shared" si="15"/>
        <v>1.1165739116259401</v>
      </c>
      <c r="O25" s="11"/>
      <c r="P25" s="6">
        <v>477.36</v>
      </c>
      <c r="Q25" s="2"/>
      <c r="R25" s="7">
        <f t="shared" si="16"/>
        <v>0.66857142857142859</v>
      </c>
      <c r="S25" s="2"/>
      <c r="T25" s="6">
        <v>150.35619510000001</v>
      </c>
      <c r="U25" s="2"/>
      <c r="V25" s="7">
        <f t="shared" si="17"/>
        <v>0.10319574131777626</v>
      </c>
      <c r="W25" s="2"/>
      <c r="X25" s="6">
        <f t="shared" si="18"/>
        <v>327.00380489999998</v>
      </c>
      <c r="Y25" s="2"/>
      <c r="Z25" s="7">
        <f t="shared" si="19"/>
        <v>2.1748608674389098</v>
      </c>
    </row>
    <row r="26" spans="1:26" s="24" customFormat="1" hidden="1" outlineLevel="2" x14ac:dyDescent="0.25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76.959999999999994</v>
      </c>
      <c r="E26" s="2"/>
      <c r="F26" s="7">
        <f t="shared" si="12"/>
        <v>0.10778711484593836</v>
      </c>
      <c r="G26" s="2"/>
      <c r="H26" s="6">
        <v>68.564144999999996</v>
      </c>
      <c r="I26" s="2"/>
      <c r="J26" s="7">
        <f t="shared" si="13"/>
        <v>4.7058438572409059E-2</v>
      </c>
      <c r="K26" s="2"/>
      <c r="L26" s="6">
        <f t="shared" si="14"/>
        <v>8.3958549999999974</v>
      </c>
      <c r="M26" s="2"/>
      <c r="N26" s="7">
        <f t="shared" si="15"/>
        <v>0.1224525588410677</v>
      </c>
      <c r="O26" s="11"/>
      <c r="P26" s="6">
        <v>153.91999999999999</v>
      </c>
      <c r="Q26" s="2"/>
      <c r="R26" s="7">
        <f t="shared" si="16"/>
        <v>0.21557422969187673</v>
      </c>
      <c r="S26" s="2"/>
      <c r="T26" s="6">
        <v>68.564144999999996</v>
      </c>
      <c r="U26" s="2"/>
      <c r="V26" s="7">
        <f t="shared" si="17"/>
        <v>4.7058438572409059E-2</v>
      </c>
      <c r="W26" s="2"/>
      <c r="X26" s="6">
        <f t="shared" si="18"/>
        <v>85.355854999999991</v>
      </c>
      <c r="Y26" s="2"/>
      <c r="Z26" s="7">
        <f t="shared" si="19"/>
        <v>1.2449051176821353</v>
      </c>
    </row>
    <row r="27" spans="1:26" s="24" customFormat="1" hidden="1" outlineLevel="2" x14ac:dyDescent="0.25">
      <c r="A27" s="27"/>
      <c r="B27" s="11" t="str">
        <f>CONCATENATE("          ", "6113", " - ", "GROUP INSURANCE")</f>
        <v xml:space="preserve">          6113 - GROUP INSURANCE</v>
      </c>
      <c r="C27" s="11"/>
      <c r="D27" s="6">
        <v>683.68</v>
      </c>
      <c r="E27" s="2"/>
      <c r="F27" s="7">
        <f t="shared" si="12"/>
        <v>0.95753501400560215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683.68</v>
      </c>
      <c r="M27" s="2"/>
      <c r="N27" s="7">
        <f t="shared" si="15"/>
        <v>0</v>
      </c>
      <c r="O27" s="11"/>
      <c r="P27" s="6">
        <v>683.68</v>
      </c>
      <c r="Q27" s="2"/>
      <c r="R27" s="7">
        <f t="shared" si="16"/>
        <v>0.95753501400560215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683.68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10.82</v>
      </c>
      <c r="E28" s="2"/>
      <c r="F28" s="7">
        <f t="shared" si="12"/>
        <v>1.515406162464986E-2</v>
      </c>
      <c r="G28" s="2"/>
      <c r="H28" s="6">
        <v>9.6360419999999998</v>
      </c>
      <c r="I28" s="2"/>
      <c r="J28" s="7">
        <f t="shared" si="13"/>
        <v>6.6136183939601917E-3</v>
      </c>
      <c r="K28" s="2"/>
      <c r="L28" s="6">
        <f t="shared" si="14"/>
        <v>1.1839580000000005</v>
      </c>
      <c r="M28" s="2"/>
      <c r="N28" s="7">
        <f t="shared" si="15"/>
        <v>0.12286766703590546</v>
      </c>
      <c r="O28" s="11"/>
      <c r="P28" s="6">
        <v>21.64</v>
      </c>
      <c r="Q28" s="2"/>
      <c r="R28" s="7">
        <f t="shared" si="16"/>
        <v>3.0308123249299719E-2</v>
      </c>
      <c r="S28" s="2"/>
      <c r="T28" s="6">
        <v>9.6360419999999998</v>
      </c>
      <c r="U28" s="2"/>
      <c r="V28" s="7">
        <f t="shared" si="17"/>
        <v>6.6136183939601917E-3</v>
      </c>
      <c r="W28" s="2"/>
      <c r="X28" s="6">
        <f t="shared" si="18"/>
        <v>12.003958000000001</v>
      </c>
      <c r="Y28" s="2"/>
      <c r="Z28" s="7">
        <f t="shared" si="19"/>
        <v>1.2457353340718109</v>
      </c>
    </row>
    <row r="29" spans="1:26" s="24" customFormat="1" hidden="1" outlineLevel="2" x14ac:dyDescent="0.25">
      <c r="A29" s="27"/>
      <c r="B29" s="11" t="str">
        <f>CONCATENATE("          ", "6115", " - ", "P.E.R.S.")</f>
        <v xml:space="preserve">          6115 - P.E.R.S.</v>
      </c>
      <c r="C29" s="11"/>
      <c r="D29" s="6">
        <v>321.57</v>
      </c>
      <c r="E29" s="2"/>
      <c r="F29" s="7">
        <f t="shared" si="12"/>
        <v>0.45037815126050418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321.57</v>
      </c>
      <c r="M29" s="2"/>
      <c r="N29" s="7">
        <f t="shared" si="15"/>
        <v>0</v>
      </c>
      <c r="O29" s="11"/>
      <c r="P29" s="6">
        <v>482.35</v>
      </c>
      <c r="Q29" s="2"/>
      <c r="R29" s="7">
        <f t="shared" si="16"/>
        <v>0.6755602240896359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482.35</v>
      </c>
      <c r="Y29" s="2"/>
      <c r="Z29" s="7">
        <f t="shared" si="19"/>
        <v>0</v>
      </c>
    </row>
    <row r="30" spans="1:26" s="24" customFormat="1" hidden="1" outlineLevel="2" x14ac:dyDescent="0.25">
      <c r="A30" s="27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"6118", " - ", "VACATION")</f>
        <v xml:space="preserve">          6118 - VACATION</v>
      </c>
      <c r="C31" s="11"/>
      <c r="D31" s="6">
        <v>239.72</v>
      </c>
      <c r="E31" s="2"/>
      <c r="F31" s="7">
        <f t="shared" si="12"/>
        <v>0.3357422969187675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239.72</v>
      </c>
      <c r="M31" s="2"/>
      <c r="N31" s="7">
        <f t="shared" si="15"/>
        <v>0</v>
      </c>
      <c r="O31" s="11"/>
      <c r="P31" s="6">
        <v>239.72</v>
      </c>
      <c r="Q31" s="2"/>
      <c r="R31" s="7">
        <f t="shared" si="16"/>
        <v>0.3357422969187675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239.72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"6119", " - ", "SICK LEAVE")</f>
        <v xml:space="preserve">          6119 - SICK LEAVE</v>
      </c>
      <c r="C32" s="11"/>
      <c r="D32" s="6">
        <v>191.88</v>
      </c>
      <c r="E32" s="2"/>
      <c r="F32" s="7">
        <f t="shared" si="12"/>
        <v>0.26873949579831929</v>
      </c>
      <c r="G32" s="2"/>
      <c r="H32" s="6">
        <v>111.18510000000001</v>
      </c>
      <c r="I32" s="2"/>
      <c r="J32" s="7">
        <f t="shared" si="13"/>
        <v>7.6310981468771452E-2</v>
      </c>
      <c r="K32" s="2"/>
      <c r="L32" s="6">
        <f t="shared" si="14"/>
        <v>80.69489999999999</v>
      </c>
      <c r="M32" s="2"/>
      <c r="N32" s="7">
        <f t="shared" si="15"/>
        <v>0.72577080921814152</v>
      </c>
      <c r="O32" s="11"/>
      <c r="P32" s="6">
        <v>191.88</v>
      </c>
      <c r="Q32" s="2"/>
      <c r="R32" s="7">
        <f t="shared" si="16"/>
        <v>0.26873949579831929</v>
      </c>
      <c r="S32" s="2"/>
      <c r="T32" s="6">
        <v>111.18510000000001</v>
      </c>
      <c r="U32" s="2"/>
      <c r="V32" s="7">
        <f t="shared" si="17"/>
        <v>7.6310981468771452E-2</v>
      </c>
      <c r="W32" s="2"/>
      <c r="X32" s="6">
        <f t="shared" si="18"/>
        <v>80.69489999999999</v>
      </c>
      <c r="Y32" s="2"/>
      <c r="Z32" s="7">
        <f t="shared" si="19"/>
        <v>0.72577080921814152</v>
      </c>
    </row>
    <row r="33" spans="1:26" s="24" customFormat="1" hidden="1" outlineLevel="2" x14ac:dyDescent="0.25">
      <c r="A33" s="27"/>
      <c r="B33" s="11" t="str">
        <f>CONCATENATE("          ", "6156", " - ", "EMPLOYEE MEALS")</f>
        <v xml:space="preserve">          6156 - EMPLOYEE MEALS</v>
      </c>
      <c r="C33" s="11"/>
      <c r="D33" s="6">
        <v>174.79</v>
      </c>
      <c r="E33" s="2"/>
      <c r="F33" s="7">
        <f t="shared" si="12"/>
        <v>0.24480392156862743</v>
      </c>
      <c r="G33" s="2"/>
      <c r="H33" s="6"/>
      <c r="I33" s="2"/>
      <c r="J33" s="7">
        <f t="shared" si="13"/>
        <v>0</v>
      </c>
      <c r="K33" s="2"/>
      <c r="L33" s="6">
        <f t="shared" si="14"/>
        <v>174.79</v>
      </c>
      <c r="M33" s="2"/>
      <c r="N33" s="7">
        <f t="shared" si="15"/>
        <v>0</v>
      </c>
      <c r="O33" s="11"/>
      <c r="P33" s="6">
        <v>174.79</v>
      </c>
      <c r="Q33" s="2"/>
      <c r="R33" s="7">
        <f t="shared" si="16"/>
        <v>0.24480392156862743</v>
      </c>
      <c r="S33" s="2"/>
      <c r="T33" s="6"/>
      <c r="U33" s="2"/>
      <c r="V33" s="7">
        <f t="shared" si="17"/>
        <v>0</v>
      </c>
      <c r="W33" s="2"/>
      <c r="X33" s="6">
        <f t="shared" si="18"/>
        <v>174.79</v>
      </c>
      <c r="Y33" s="2"/>
      <c r="Z33" s="7">
        <f t="shared" si="19"/>
        <v>0</v>
      </c>
    </row>
    <row r="34" spans="1:26" s="29" customFormat="1" outlineLevel="1" collapsed="1" x14ac:dyDescent="0.25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4607</v>
      </c>
      <c r="E34" s="1"/>
      <c r="F34" s="5">
        <f t="shared" ref="F34:F44" si="20">IF(D$12=0,0,D34/D$12)</f>
        <v>6.4523809523809526</v>
      </c>
      <c r="G34" s="1"/>
      <c r="H34" s="1">
        <f>SUM(OSRRefH22_1x_0)</f>
        <v>3706.17</v>
      </c>
      <c r="I34" s="1"/>
      <c r="J34" s="5">
        <f t="shared" ref="J34:J44" si="21">IF(H$12=0,0,H34/H$12)</f>
        <v>2.5436993822923815</v>
      </c>
      <c r="K34" s="1"/>
      <c r="L34" s="1">
        <f t="shared" ref="L34:L44" si="22">+D34-H34</f>
        <v>900.82999999999993</v>
      </c>
      <c r="M34" s="1"/>
      <c r="N34" s="5">
        <f t="shared" ref="N34:N44" si="23">IF(H34=0,0,L34/H34)</f>
        <v>0.2430622448511536</v>
      </c>
      <c r="O34" s="14"/>
      <c r="P34" s="1">
        <f>SUM(OSRRefP22_1x_0)</f>
        <v>7727</v>
      </c>
      <c r="Q34" s="1"/>
      <c r="R34" s="5">
        <f t="shared" ref="R34:R44" si="24">IF(P$12=0,0,P34/P$12)</f>
        <v>10.822128851540617</v>
      </c>
      <c r="S34" s="1"/>
      <c r="T34" s="1">
        <f>SUM(OSRRefT22_1x_0)</f>
        <v>3706.17</v>
      </c>
      <c r="U34" s="1"/>
      <c r="V34" s="5">
        <f t="shared" ref="V34:V44" si="25">IF(T$12=0,0,T34/T$12)</f>
        <v>2.5436993822923815</v>
      </c>
      <c r="W34" s="1"/>
      <c r="X34" s="1">
        <f t="shared" ref="X34:X44" si="26">+P34-T34</f>
        <v>4020.83</v>
      </c>
      <c r="Y34" s="1"/>
      <c r="Z34" s="5">
        <f t="shared" ref="Z34:Z44" si="27">IF(T34=0,0,X34/T34)</f>
        <v>1.0849016639819544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>
        <v>3952</v>
      </c>
      <c r="E36" s="2"/>
      <c r="F36" s="7">
        <f t="shared" si="20"/>
        <v>5.5350140056022408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3952</v>
      </c>
      <c r="M36" s="2"/>
      <c r="N36" s="7">
        <f t="shared" si="23"/>
        <v>0</v>
      </c>
      <c r="O36" s="11"/>
      <c r="P36" s="6">
        <v>7072</v>
      </c>
      <c r="Q36" s="2"/>
      <c r="R36" s="7">
        <f t="shared" si="24"/>
        <v>9.9047619047619051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7072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1964.67</v>
      </c>
      <c r="I38" s="2"/>
      <c r="J38" s="7">
        <f t="shared" si="21"/>
        <v>1.3484351407000688</v>
      </c>
      <c r="K38" s="2"/>
      <c r="L38" s="6">
        <f t="shared" si="22"/>
        <v>-1964.67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1964.67</v>
      </c>
      <c r="U38" s="2"/>
      <c r="V38" s="7">
        <f t="shared" si="25"/>
        <v>1.3484351407000688</v>
      </c>
      <c r="W38" s="2"/>
      <c r="X38" s="6">
        <f t="shared" si="26"/>
        <v>-1964.67</v>
      </c>
      <c r="Y38" s="2"/>
      <c r="Z38" s="7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655</v>
      </c>
      <c r="E41" s="2"/>
      <c r="F41" s="7">
        <f t="shared" si="20"/>
        <v>0.91736694677871145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655</v>
      </c>
      <c r="M41" s="2"/>
      <c r="N41" s="7">
        <f t="shared" si="23"/>
        <v>0</v>
      </c>
      <c r="O41" s="11"/>
      <c r="P41" s="6">
        <v>655</v>
      </c>
      <c r="Q41" s="2"/>
      <c r="R41" s="7">
        <f t="shared" si="24"/>
        <v>0.91736694677871145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655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1741.5</v>
      </c>
      <c r="I42" s="2"/>
      <c r="J42" s="7">
        <f t="shared" si="21"/>
        <v>1.1952642415923129</v>
      </c>
      <c r="K42" s="2"/>
      <c r="L42" s="6">
        <f t="shared" si="22"/>
        <v>-1741.5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1741.5</v>
      </c>
      <c r="U42" s="2"/>
      <c r="V42" s="7">
        <f t="shared" si="25"/>
        <v>1.1952642415923129</v>
      </c>
      <c r="W42" s="2"/>
      <c r="X42" s="6">
        <f t="shared" si="26"/>
        <v>-1741.5</v>
      </c>
      <c r="Y42" s="2"/>
      <c r="Z42" s="7">
        <f t="shared" si="27"/>
        <v>-1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9" customFormat="1" outlineLevel="1" collapsed="1" x14ac:dyDescent="0.25">
      <c r="A45" s="28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8">IF(D$12=0,0,D45/D$12)</f>
        <v>0</v>
      </c>
      <c r="G45" s="1"/>
      <c r="H45" s="1">
        <f>SUM(OSRRefH22_2x_0)</f>
        <v>100</v>
      </c>
      <c r="I45" s="1"/>
      <c r="J45" s="5">
        <f t="shared" ref="J45:J57" si="29">IF(H$12=0,0,H45/H$12)</f>
        <v>6.8634179821551136E-2</v>
      </c>
      <c r="K45" s="1"/>
      <c r="L45" s="1">
        <f t="shared" ref="L45:L57" si="30">+D45-H45</f>
        <v>-100</v>
      </c>
      <c r="M45" s="1"/>
      <c r="N45" s="5">
        <f t="shared" ref="N45:N57" si="31">IF(H45=0,0,L45/H45)</f>
        <v>-1</v>
      </c>
      <c r="O45" s="14"/>
      <c r="P45" s="1">
        <f>SUM(OSRRefP22_2x_0)</f>
        <v>0</v>
      </c>
      <c r="Q45" s="1"/>
      <c r="R45" s="5">
        <f t="shared" ref="R45:R57" si="32">IF(P$12=0,0,P45/P$12)</f>
        <v>0</v>
      </c>
      <c r="S45" s="1"/>
      <c r="T45" s="1">
        <f>SUM(OSRRefT22_2x_0)</f>
        <v>100</v>
      </c>
      <c r="U45" s="1"/>
      <c r="V45" s="5">
        <f t="shared" ref="V45:V57" si="33">IF(T$12=0,0,T45/T$12)</f>
        <v>6.8634179821551136E-2</v>
      </c>
      <c r="W45" s="1"/>
      <c r="X45" s="1">
        <f t="shared" ref="X45:X57" si="34">+P45-T45</f>
        <v>-100</v>
      </c>
      <c r="Y45" s="1"/>
      <c r="Z45" s="5">
        <f t="shared" ref="Z45:Z57" si="35">IF(T45=0,0,X45/T45)</f>
        <v>-1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100</v>
      </c>
      <c r="I46" s="2"/>
      <c r="J46" s="7">
        <f t="shared" si="29"/>
        <v>6.8634179821551136E-2</v>
      </c>
      <c r="K46" s="2"/>
      <c r="L46" s="6">
        <f t="shared" si="30"/>
        <v>-100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100</v>
      </c>
      <c r="U46" s="2"/>
      <c r="V46" s="7">
        <f t="shared" si="33"/>
        <v>6.8634179821551136E-2</v>
      </c>
      <c r="W46" s="2"/>
      <c r="X46" s="6">
        <f t="shared" si="34"/>
        <v>-100</v>
      </c>
      <c r="Y46" s="2"/>
      <c r="Z46" s="7">
        <f t="shared" si="35"/>
        <v>-1</v>
      </c>
    </row>
    <row r="47" spans="1:26" s="29" customFormat="1" outlineLevel="1" collapsed="1" x14ac:dyDescent="0.25">
      <c r="A47" s="28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3.75</v>
      </c>
      <c r="E47" s="1"/>
      <c r="F47" s="5">
        <f t="shared" si="28"/>
        <v>5.2521008403361349E-3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3.75</v>
      </c>
      <c r="M47" s="1"/>
      <c r="N47" s="5">
        <f t="shared" si="31"/>
        <v>0</v>
      </c>
      <c r="O47" s="14"/>
      <c r="P47" s="1">
        <f>SUM(OSRRefP22_3x_0)</f>
        <v>3.75</v>
      </c>
      <c r="Q47" s="1"/>
      <c r="R47" s="5">
        <f t="shared" si="32"/>
        <v>5.2521008403361349E-3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3.75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3.75</v>
      </c>
      <c r="E48" s="2"/>
      <c r="F48" s="7">
        <f t="shared" si="28"/>
        <v>5.2521008403361349E-3</v>
      </c>
      <c r="G48" s="2"/>
      <c r="H48" s="6"/>
      <c r="I48" s="2"/>
      <c r="J48" s="7">
        <f t="shared" si="29"/>
        <v>0</v>
      </c>
      <c r="K48" s="2"/>
      <c r="L48" s="6">
        <f t="shared" si="30"/>
        <v>3.75</v>
      </c>
      <c r="M48" s="2"/>
      <c r="N48" s="7">
        <f t="shared" si="31"/>
        <v>0</v>
      </c>
      <c r="O48" s="11"/>
      <c r="P48" s="6">
        <v>3.75</v>
      </c>
      <c r="Q48" s="2"/>
      <c r="R48" s="7">
        <f t="shared" si="32"/>
        <v>5.2521008403361349E-3</v>
      </c>
      <c r="S48" s="2"/>
      <c r="T48" s="6"/>
      <c r="U48" s="2"/>
      <c r="V48" s="7">
        <f t="shared" si="33"/>
        <v>0</v>
      </c>
      <c r="W48" s="2"/>
      <c r="X48" s="6">
        <f t="shared" si="34"/>
        <v>3.75</v>
      </c>
      <c r="Y48" s="2"/>
      <c r="Z48" s="7">
        <f t="shared" si="35"/>
        <v>0</v>
      </c>
    </row>
    <row r="49" spans="1:26" s="29" customFormat="1" outlineLevel="1" collapsed="1" x14ac:dyDescent="0.25">
      <c r="A49" s="28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0</v>
      </c>
      <c r="E49" s="1"/>
      <c r="F49" s="5">
        <f t="shared" si="28"/>
        <v>0</v>
      </c>
      <c r="G49" s="1"/>
      <c r="H49" s="1">
        <f>SUM(OSRRefH22_4x_0)</f>
        <v>45</v>
      </c>
      <c r="I49" s="1"/>
      <c r="J49" s="5">
        <f t="shared" si="29"/>
        <v>3.0885380919698009E-2</v>
      </c>
      <c r="K49" s="1"/>
      <c r="L49" s="1">
        <f t="shared" si="30"/>
        <v>-45</v>
      </c>
      <c r="M49" s="1"/>
      <c r="N49" s="5">
        <f t="shared" si="31"/>
        <v>-1</v>
      </c>
      <c r="O49" s="14"/>
      <c r="P49" s="1">
        <f>SUM(OSRRefP22_4x_0)</f>
        <v>0</v>
      </c>
      <c r="Q49" s="1"/>
      <c r="R49" s="5">
        <f t="shared" si="32"/>
        <v>0</v>
      </c>
      <c r="S49" s="1"/>
      <c r="T49" s="1">
        <f>SUM(OSRRefT22_4x_0)</f>
        <v>45</v>
      </c>
      <c r="U49" s="1"/>
      <c r="V49" s="5">
        <f t="shared" si="33"/>
        <v>3.0885380919698009E-2</v>
      </c>
      <c r="W49" s="1"/>
      <c r="X49" s="1">
        <f t="shared" si="34"/>
        <v>-45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/>
      <c r="E50" s="2"/>
      <c r="F50" s="7">
        <f t="shared" si="28"/>
        <v>0</v>
      </c>
      <c r="G50" s="2"/>
      <c r="H50" s="6">
        <v>45</v>
      </c>
      <c r="I50" s="2"/>
      <c r="J50" s="7">
        <f t="shared" si="29"/>
        <v>3.0885380919698009E-2</v>
      </c>
      <c r="K50" s="2"/>
      <c r="L50" s="6">
        <f t="shared" si="30"/>
        <v>-45</v>
      </c>
      <c r="M50" s="2"/>
      <c r="N50" s="7">
        <f t="shared" si="31"/>
        <v>-1</v>
      </c>
      <c r="O50" s="11"/>
      <c r="P50" s="6"/>
      <c r="Q50" s="2"/>
      <c r="R50" s="7">
        <f t="shared" si="32"/>
        <v>0</v>
      </c>
      <c r="S50" s="2"/>
      <c r="T50" s="6">
        <v>45</v>
      </c>
      <c r="U50" s="2"/>
      <c r="V50" s="7">
        <f t="shared" si="33"/>
        <v>3.0885380919698009E-2</v>
      </c>
      <c r="W50" s="2"/>
      <c r="X50" s="6">
        <f t="shared" si="34"/>
        <v>-45</v>
      </c>
      <c r="Y50" s="2"/>
      <c r="Z50" s="7">
        <f t="shared" si="35"/>
        <v>-1</v>
      </c>
    </row>
    <row r="51" spans="1:26" s="29" customFormat="1" outlineLevel="1" collapsed="1" x14ac:dyDescent="0.25">
      <c r="A51" s="28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8"/>
        <v>1.5061204481792716</v>
      </c>
      <c r="G51" s="1"/>
      <c r="H51" s="1">
        <f>SUM(OSRRefH22_5x_0)</f>
        <v>1075</v>
      </c>
      <c r="I51" s="1"/>
      <c r="J51" s="5">
        <f t="shared" si="29"/>
        <v>0.73781743308167469</v>
      </c>
      <c r="K51" s="1"/>
      <c r="L51" s="1">
        <f t="shared" si="30"/>
        <v>0.36999999999989086</v>
      </c>
      <c r="M51" s="1"/>
      <c r="N51" s="5">
        <f t="shared" si="31"/>
        <v>3.4418604651152636E-4</v>
      </c>
      <c r="O51" s="14"/>
      <c r="P51" s="1">
        <f>SUM(OSRRefP22_5x_0)</f>
        <v>2150.7399999999998</v>
      </c>
      <c r="Q51" s="1"/>
      <c r="R51" s="5">
        <f t="shared" si="32"/>
        <v>3.0122408963585432</v>
      </c>
      <c r="S51" s="1"/>
      <c r="T51" s="1">
        <f>SUM(OSRRefT22_5x_0)</f>
        <v>2150</v>
      </c>
      <c r="U51" s="1"/>
      <c r="V51" s="5">
        <f t="shared" si="33"/>
        <v>1.4756348661633494</v>
      </c>
      <c r="W51" s="1"/>
      <c r="X51" s="1">
        <f t="shared" si="34"/>
        <v>0.73999999999978172</v>
      </c>
      <c r="Y51" s="1"/>
      <c r="Z51" s="5">
        <f t="shared" si="35"/>
        <v>3.4418604651152636E-4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1075.3699999999999</v>
      </c>
      <c r="E52" s="2"/>
      <c r="F52" s="7">
        <f t="shared" si="28"/>
        <v>1.5061204481792716</v>
      </c>
      <c r="G52" s="2"/>
      <c r="H52" s="6">
        <v>1075</v>
      </c>
      <c r="I52" s="2"/>
      <c r="J52" s="7">
        <f t="shared" si="29"/>
        <v>0.73781743308167469</v>
      </c>
      <c r="K52" s="2"/>
      <c r="L52" s="6">
        <f t="shared" si="30"/>
        <v>0.36999999999989086</v>
      </c>
      <c r="M52" s="2"/>
      <c r="N52" s="7">
        <f t="shared" si="31"/>
        <v>3.4418604651152636E-4</v>
      </c>
      <c r="O52" s="11"/>
      <c r="P52" s="6">
        <v>2150.7399999999998</v>
      </c>
      <c r="Q52" s="2"/>
      <c r="R52" s="7">
        <f t="shared" si="32"/>
        <v>3.0122408963585432</v>
      </c>
      <c r="S52" s="2"/>
      <c r="T52" s="6">
        <v>2150</v>
      </c>
      <c r="U52" s="2"/>
      <c r="V52" s="7">
        <f t="shared" si="33"/>
        <v>1.4756348661633494</v>
      </c>
      <c r="W52" s="2"/>
      <c r="X52" s="6">
        <f t="shared" si="34"/>
        <v>0.73999999999978172</v>
      </c>
      <c r="Y52" s="2"/>
      <c r="Z52" s="7">
        <f t="shared" si="35"/>
        <v>3.4418604651152636E-4</v>
      </c>
    </row>
    <row r="53" spans="1:26" s="29" customFormat="1" outlineLevel="1" collapsed="1" x14ac:dyDescent="0.25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SUM(OSRRefP22_6x_0)</f>
        <v>754.55</v>
      </c>
      <c r="Q53" s="1"/>
      <c r="R53" s="5">
        <f t="shared" si="32"/>
        <v>1.0567927170868348</v>
      </c>
      <c r="S53" s="1"/>
      <c r="T53" s="1">
        <f>SUM(OSRRefT22_6x_0)</f>
        <v>1000</v>
      </c>
      <c r="U53" s="1"/>
      <c r="V53" s="5">
        <f t="shared" si="33"/>
        <v>0.68634179821551133</v>
      </c>
      <c r="W53" s="1"/>
      <c r="X53" s="1">
        <f t="shared" si="34"/>
        <v>-245.45000000000005</v>
      </c>
      <c r="Y53" s="1"/>
      <c r="Z53" s="5">
        <f t="shared" si="35"/>
        <v>-0.24545000000000006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754.55</v>
      </c>
      <c r="Q54" s="2"/>
      <c r="R54" s="7">
        <f t="shared" si="32"/>
        <v>1.0567927170868348</v>
      </c>
      <c r="S54" s="2"/>
      <c r="T54" s="6">
        <v>1000</v>
      </c>
      <c r="U54" s="2"/>
      <c r="V54" s="7">
        <f t="shared" si="33"/>
        <v>0.68634179821551133</v>
      </c>
      <c r="W54" s="2"/>
      <c r="X54" s="6">
        <f t="shared" si="34"/>
        <v>-245.45000000000005</v>
      </c>
      <c r="Y54" s="2"/>
      <c r="Z54" s="7">
        <f t="shared" si="35"/>
        <v>-0.24545000000000006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168.6</v>
      </c>
      <c r="E55" s="1"/>
      <c r="F55" s="5">
        <f t="shared" si="28"/>
        <v>0.2361344537815126</v>
      </c>
      <c r="G55" s="1"/>
      <c r="H55" s="1">
        <f>SUM(OSRRefH22_7x_0)</f>
        <v>250</v>
      </c>
      <c r="I55" s="1"/>
      <c r="J55" s="5">
        <f t="shared" si="29"/>
        <v>0.17158544955387783</v>
      </c>
      <c r="K55" s="1"/>
      <c r="L55" s="1">
        <f t="shared" si="30"/>
        <v>-81.400000000000006</v>
      </c>
      <c r="M55" s="1"/>
      <c r="N55" s="5">
        <f t="shared" si="31"/>
        <v>-0.3256</v>
      </c>
      <c r="O55" s="14"/>
      <c r="P55" s="1">
        <f>SUM(OSRRefP22_7x_0)</f>
        <v>168.6</v>
      </c>
      <c r="Q55" s="1"/>
      <c r="R55" s="5">
        <f t="shared" si="32"/>
        <v>0.2361344537815126</v>
      </c>
      <c r="S55" s="1"/>
      <c r="T55" s="1">
        <f>SUM(OSRRefT22_7x_0)</f>
        <v>250</v>
      </c>
      <c r="U55" s="1"/>
      <c r="V55" s="5">
        <f t="shared" si="33"/>
        <v>0.17158544955387783</v>
      </c>
      <c r="W55" s="1"/>
      <c r="X55" s="1">
        <f t="shared" si="34"/>
        <v>-81.400000000000006</v>
      </c>
      <c r="Y55" s="1"/>
      <c r="Z55" s="5">
        <f t="shared" si="35"/>
        <v>-0.3256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78.599999999999994</v>
      </c>
      <c r="E56" s="2"/>
      <c r="F56" s="7">
        <f t="shared" si="28"/>
        <v>0.11008403361344538</v>
      </c>
      <c r="G56" s="2"/>
      <c r="H56" s="6"/>
      <c r="I56" s="2"/>
      <c r="J56" s="7">
        <f t="shared" si="29"/>
        <v>0</v>
      </c>
      <c r="K56" s="2"/>
      <c r="L56" s="6">
        <f t="shared" si="30"/>
        <v>78.599999999999994</v>
      </c>
      <c r="M56" s="2"/>
      <c r="N56" s="7">
        <f t="shared" si="31"/>
        <v>0</v>
      </c>
      <c r="O56" s="11"/>
      <c r="P56" s="6">
        <v>78.599999999999994</v>
      </c>
      <c r="Q56" s="2"/>
      <c r="R56" s="7">
        <f t="shared" si="32"/>
        <v>0.11008403361344538</v>
      </c>
      <c r="S56" s="2"/>
      <c r="T56" s="6"/>
      <c r="U56" s="2"/>
      <c r="V56" s="7">
        <f t="shared" si="33"/>
        <v>0</v>
      </c>
      <c r="W56" s="2"/>
      <c r="X56" s="6">
        <f t="shared" si="34"/>
        <v>78.599999999999994</v>
      </c>
      <c r="Y56" s="2"/>
      <c r="Z56" s="7">
        <f t="shared" si="35"/>
        <v>0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90</v>
      </c>
      <c r="E57" s="2"/>
      <c r="F57" s="7">
        <f t="shared" si="28"/>
        <v>0.12605042016806722</v>
      </c>
      <c r="G57" s="2"/>
      <c r="H57" s="6">
        <v>250</v>
      </c>
      <c r="I57" s="2"/>
      <c r="J57" s="7">
        <f t="shared" si="29"/>
        <v>0.17158544955387783</v>
      </c>
      <c r="K57" s="2"/>
      <c r="L57" s="6">
        <f t="shared" si="30"/>
        <v>-160</v>
      </c>
      <c r="M57" s="2"/>
      <c r="N57" s="7">
        <f t="shared" si="31"/>
        <v>-0.64</v>
      </c>
      <c r="O57" s="11"/>
      <c r="P57" s="6">
        <v>90</v>
      </c>
      <c r="Q57" s="2"/>
      <c r="R57" s="7">
        <f t="shared" si="32"/>
        <v>0.12605042016806722</v>
      </c>
      <c r="S57" s="2"/>
      <c r="T57" s="6">
        <v>250</v>
      </c>
      <c r="U57" s="2"/>
      <c r="V57" s="7">
        <f t="shared" si="33"/>
        <v>0.17158544955387783</v>
      </c>
      <c r="W57" s="2"/>
      <c r="X57" s="6">
        <f t="shared" si="34"/>
        <v>-160</v>
      </c>
      <c r="Y57" s="2"/>
      <c r="Z57" s="7">
        <f t="shared" si="35"/>
        <v>-0.64</v>
      </c>
    </row>
    <row r="58" spans="1:26" s="29" customFormat="1" outlineLevel="1" collapsed="1" x14ac:dyDescent="0.25">
      <c r="A58" s="28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0</v>
      </c>
      <c r="E58" s="1"/>
      <c r="F58" s="5">
        <f t="shared" ref="F58:F65" si="36">IF(D$12=0,0,D58/D$12)</f>
        <v>0</v>
      </c>
      <c r="G58" s="1"/>
      <c r="H58" s="1">
        <f>SUM(OSRRefH22_8x_0)</f>
        <v>130</v>
      </c>
      <c r="I58" s="1"/>
      <c r="J58" s="5">
        <f t="shared" ref="J58:J65" si="37">IF(H$12=0,0,H58/H$12)</f>
        <v>8.9224433768016476E-2</v>
      </c>
      <c r="K58" s="1"/>
      <c r="L58" s="1">
        <f t="shared" ref="L58:L65" si="38">+D58-H58</f>
        <v>-130</v>
      </c>
      <c r="M58" s="1"/>
      <c r="N58" s="5">
        <f t="shared" ref="N58:N65" si="39">IF(H58=0,0,L58/H58)</f>
        <v>-1</v>
      </c>
      <c r="O58" s="14"/>
      <c r="P58" s="1">
        <f>SUM(OSRRefP22_8x_0)</f>
        <v>0</v>
      </c>
      <c r="Q58" s="1"/>
      <c r="R58" s="5">
        <f t="shared" ref="R58:R65" si="40">IF(P$12=0,0,P58/P$12)</f>
        <v>0</v>
      </c>
      <c r="S58" s="1"/>
      <c r="T58" s="1">
        <f>SUM(OSRRefT22_8x_0)</f>
        <v>130</v>
      </c>
      <c r="U58" s="1"/>
      <c r="V58" s="5">
        <f t="shared" ref="V58:V65" si="41">IF(T$12=0,0,T58/T$12)</f>
        <v>8.9224433768016476E-2</v>
      </c>
      <c r="W58" s="1"/>
      <c r="X58" s="1">
        <f t="shared" ref="X58:X65" si="42">+P58-T58</f>
        <v>-130</v>
      </c>
      <c r="Y58" s="1"/>
      <c r="Z58" s="5">
        <f t="shared" ref="Z58:Z65" si="43">IF(T58=0,0,X58/T58)</f>
        <v>-1</v>
      </c>
    </row>
    <row r="59" spans="1:26" s="24" customFormat="1" hidden="1" outlineLevel="2" x14ac:dyDescent="0.25">
      <c r="A59" s="27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36"/>
        <v>0</v>
      </c>
      <c r="G59" s="2"/>
      <c r="H59" s="6">
        <v>130</v>
      </c>
      <c r="I59" s="2"/>
      <c r="J59" s="7">
        <f t="shared" si="37"/>
        <v>8.9224433768016476E-2</v>
      </c>
      <c r="K59" s="2"/>
      <c r="L59" s="6">
        <f t="shared" si="38"/>
        <v>-130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130</v>
      </c>
      <c r="U59" s="2"/>
      <c r="V59" s="7">
        <f t="shared" si="41"/>
        <v>8.9224433768016476E-2</v>
      </c>
      <c r="W59" s="2"/>
      <c r="X59" s="6">
        <f t="shared" si="42"/>
        <v>-130</v>
      </c>
      <c r="Y59" s="2"/>
      <c r="Z59" s="7">
        <f t="shared" si="43"/>
        <v>-1</v>
      </c>
    </row>
    <row r="60" spans="1:26" s="29" customFormat="1" outlineLevel="1" collapsed="1" x14ac:dyDescent="0.25">
      <c r="A60" s="28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0</v>
      </c>
      <c r="E60" s="1"/>
      <c r="F60" s="5">
        <f t="shared" si="36"/>
        <v>0</v>
      </c>
      <c r="G60" s="1"/>
      <c r="H60" s="1">
        <f>SUM(OSRRefH22_9x_0)</f>
        <v>287</v>
      </c>
      <c r="I60" s="1"/>
      <c r="J60" s="5">
        <f t="shared" si="37"/>
        <v>0.19698009608785175</v>
      </c>
      <c r="K60" s="1"/>
      <c r="L60" s="1">
        <f t="shared" si="38"/>
        <v>-287</v>
      </c>
      <c r="M60" s="1"/>
      <c r="N60" s="5">
        <f t="shared" si="39"/>
        <v>-1</v>
      </c>
      <c r="O60" s="14"/>
      <c r="P60" s="1">
        <f>SUM(OSRRefP22_9x_0)</f>
        <v>-145.32</v>
      </c>
      <c r="Q60" s="1"/>
      <c r="R60" s="5">
        <f t="shared" si="40"/>
        <v>-0.20352941176470588</v>
      </c>
      <c r="S60" s="1"/>
      <c r="T60" s="1">
        <f>SUM(OSRRefT22_9x_0)</f>
        <v>287</v>
      </c>
      <c r="U60" s="1"/>
      <c r="V60" s="5">
        <f t="shared" si="41"/>
        <v>0.19698009608785175</v>
      </c>
      <c r="W60" s="1"/>
      <c r="X60" s="1">
        <f t="shared" si="42"/>
        <v>-432.32</v>
      </c>
      <c r="Y60" s="1"/>
      <c r="Z60" s="5">
        <f t="shared" si="43"/>
        <v>-1.5063414634146342</v>
      </c>
    </row>
    <row r="61" spans="1:26" s="24" customFormat="1" hidden="1" outlineLevel="2" x14ac:dyDescent="0.25">
      <c r="A61" s="27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36"/>
        <v>0</v>
      </c>
      <c r="G61" s="2"/>
      <c r="H61" s="6">
        <v>287</v>
      </c>
      <c r="I61" s="2"/>
      <c r="J61" s="7">
        <f t="shared" si="37"/>
        <v>0.19698009608785175</v>
      </c>
      <c r="K61" s="2"/>
      <c r="L61" s="6">
        <f t="shared" si="38"/>
        <v>-287</v>
      </c>
      <c r="M61" s="2"/>
      <c r="N61" s="7">
        <f t="shared" si="39"/>
        <v>-1</v>
      </c>
      <c r="O61" s="11"/>
      <c r="P61" s="6">
        <v>-145.32</v>
      </c>
      <c r="Q61" s="2"/>
      <c r="R61" s="7">
        <f t="shared" si="40"/>
        <v>-0.20352941176470588</v>
      </c>
      <c r="S61" s="2"/>
      <c r="T61" s="6">
        <v>287</v>
      </c>
      <c r="U61" s="2"/>
      <c r="V61" s="7">
        <f t="shared" si="41"/>
        <v>0.19698009608785175</v>
      </c>
      <c r="W61" s="2"/>
      <c r="X61" s="6">
        <f t="shared" si="42"/>
        <v>-432.32</v>
      </c>
      <c r="Y61" s="2"/>
      <c r="Z61" s="7">
        <f t="shared" si="43"/>
        <v>-1.5063414634146342</v>
      </c>
    </row>
    <row r="62" spans="1:26" s="29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SUM(OSRRefD22_10x_0)</f>
        <v>80.28</v>
      </c>
      <c r="E62" s="1"/>
      <c r="F62" s="5">
        <f t="shared" si="36"/>
        <v>0.11243697478991596</v>
      </c>
      <c r="G62" s="1"/>
      <c r="H62" s="1">
        <f>SUM(OSRRefH22_10x_0)</f>
        <v>567</v>
      </c>
      <c r="I62" s="1"/>
      <c r="J62" s="5">
        <f t="shared" si="37"/>
        <v>0.38915579958819491</v>
      </c>
      <c r="K62" s="1"/>
      <c r="L62" s="1">
        <f t="shared" si="38"/>
        <v>-486.72</v>
      </c>
      <c r="M62" s="1"/>
      <c r="N62" s="5">
        <f t="shared" si="39"/>
        <v>-0.85841269841269852</v>
      </c>
      <c r="O62" s="14"/>
      <c r="P62" s="1">
        <f>SUM(OSRRefP22_10x_0)</f>
        <v>287.55</v>
      </c>
      <c r="Q62" s="1"/>
      <c r="R62" s="5">
        <f t="shared" si="40"/>
        <v>0.4027310924369748</v>
      </c>
      <c r="S62" s="1"/>
      <c r="T62" s="1">
        <f>SUM(OSRRefT22_10x_0)</f>
        <v>567</v>
      </c>
      <c r="U62" s="1"/>
      <c r="V62" s="5">
        <f t="shared" si="41"/>
        <v>0.38915579958819491</v>
      </c>
      <c r="W62" s="1"/>
      <c r="X62" s="1">
        <f t="shared" si="42"/>
        <v>-279.45</v>
      </c>
      <c r="Y62" s="1"/>
      <c r="Z62" s="5">
        <f t="shared" si="43"/>
        <v>-0.49285714285714283</v>
      </c>
    </row>
    <row r="63" spans="1:26" s="24" customFormat="1" hidden="1" outlineLevel="2" x14ac:dyDescent="0.25">
      <c r="A63" s="27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6"/>
        <v>0</v>
      </c>
      <c r="G63" s="2"/>
      <c r="H63" s="6">
        <v>200</v>
      </c>
      <c r="I63" s="2"/>
      <c r="J63" s="7">
        <f t="shared" si="37"/>
        <v>0.13726835964310227</v>
      </c>
      <c r="K63" s="2"/>
      <c r="L63" s="6">
        <f t="shared" si="38"/>
        <v>-200</v>
      </c>
      <c r="M63" s="2"/>
      <c r="N63" s="7">
        <f t="shared" si="39"/>
        <v>-1</v>
      </c>
      <c r="O63" s="11"/>
      <c r="P63" s="6">
        <v>207.27</v>
      </c>
      <c r="Q63" s="2"/>
      <c r="R63" s="7">
        <f t="shared" si="40"/>
        <v>0.29029411764705881</v>
      </c>
      <c r="S63" s="2"/>
      <c r="T63" s="6">
        <v>200</v>
      </c>
      <c r="U63" s="2"/>
      <c r="V63" s="7">
        <f t="shared" si="41"/>
        <v>0.13726835964310227</v>
      </c>
      <c r="W63" s="2"/>
      <c r="X63" s="6">
        <f t="shared" si="42"/>
        <v>7.2700000000000102</v>
      </c>
      <c r="Y63" s="2"/>
      <c r="Z63" s="7">
        <f t="shared" si="43"/>
        <v>3.6350000000000049E-2</v>
      </c>
    </row>
    <row r="64" spans="1:26" s="24" customFormat="1" hidden="1" outlineLevel="2" x14ac:dyDescent="0.25">
      <c r="A64" s="27"/>
      <c r="B64" s="11" t="str">
        <f>CONCATENATE("          ", "6247", " - ", "STORE SUPPLIES")</f>
        <v xml:space="preserve">          6247 - STORE SUPPLIES</v>
      </c>
      <c r="C64" s="11"/>
      <c r="D64" s="6">
        <v>80.28</v>
      </c>
      <c r="E64" s="2"/>
      <c r="F64" s="7">
        <f t="shared" si="36"/>
        <v>0.11243697478991596</v>
      </c>
      <c r="G64" s="2"/>
      <c r="H64" s="6">
        <v>267</v>
      </c>
      <c r="I64" s="2"/>
      <c r="J64" s="7">
        <f t="shared" si="37"/>
        <v>0.18325326012354151</v>
      </c>
      <c r="K64" s="2"/>
      <c r="L64" s="6">
        <f t="shared" si="38"/>
        <v>-186.72</v>
      </c>
      <c r="M64" s="2"/>
      <c r="N64" s="7">
        <f t="shared" si="39"/>
        <v>-0.69932584269662923</v>
      </c>
      <c r="O64" s="11"/>
      <c r="P64" s="6">
        <v>80.28</v>
      </c>
      <c r="Q64" s="2"/>
      <c r="R64" s="7">
        <f t="shared" si="40"/>
        <v>0.11243697478991596</v>
      </c>
      <c r="S64" s="2"/>
      <c r="T64" s="6">
        <v>267</v>
      </c>
      <c r="U64" s="2"/>
      <c r="V64" s="7">
        <f t="shared" si="41"/>
        <v>0.18325326012354151</v>
      </c>
      <c r="W64" s="2"/>
      <c r="X64" s="6">
        <f t="shared" si="42"/>
        <v>-186.72</v>
      </c>
      <c r="Y64" s="2"/>
      <c r="Z64" s="7">
        <f t="shared" si="43"/>
        <v>-0.69932584269662923</v>
      </c>
    </row>
    <row r="65" spans="1:26" s="24" customFormat="1" hidden="1" outlineLevel="2" x14ac:dyDescent="0.25">
      <c r="A65" s="27"/>
      <c r="B65" s="11" t="str">
        <f>CONCATENATE("          ", "6248", " - ", "UNIFORMS")</f>
        <v xml:space="preserve">          6248 - UNIFORMS</v>
      </c>
      <c r="C65" s="11"/>
      <c r="D65" s="6"/>
      <c r="E65" s="2"/>
      <c r="F65" s="7">
        <f t="shared" si="36"/>
        <v>0</v>
      </c>
      <c r="G65" s="2"/>
      <c r="H65" s="6">
        <v>100</v>
      </c>
      <c r="I65" s="2"/>
      <c r="J65" s="7">
        <f t="shared" si="37"/>
        <v>6.8634179821551136E-2</v>
      </c>
      <c r="K65" s="2"/>
      <c r="L65" s="6">
        <f t="shared" si="38"/>
        <v>-100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100</v>
      </c>
      <c r="U65" s="2"/>
      <c r="V65" s="7">
        <f t="shared" si="41"/>
        <v>6.8634179821551136E-2</v>
      </c>
      <c r="W65" s="2"/>
      <c r="X65" s="6">
        <f t="shared" si="42"/>
        <v>-100</v>
      </c>
      <c r="Y65" s="2"/>
      <c r="Z65" s="7">
        <f t="shared" si="43"/>
        <v>-1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SUM(OSRRefD22_11x_0)</f>
        <v>101.5</v>
      </c>
      <c r="E66" s="1"/>
      <c r="F66" s="5">
        <f t="shared" ref="F66:F68" si="44">IF(D$12=0,0,D66/D$12)</f>
        <v>0.14215686274509803</v>
      </c>
      <c r="G66" s="1"/>
      <c r="H66" s="1">
        <f>SUM(OSRRefH22_11x_0)</f>
        <v>75</v>
      </c>
      <c r="I66" s="1"/>
      <c r="J66" s="5">
        <f t="shared" ref="J66:J68" si="45">IF(H$12=0,0,H66/H$12)</f>
        <v>5.1475634866163349E-2</v>
      </c>
      <c r="K66" s="1"/>
      <c r="L66" s="1">
        <f t="shared" ref="L66:L68" si="46">+D66-H66</f>
        <v>26.5</v>
      </c>
      <c r="M66" s="1"/>
      <c r="N66" s="5">
        <f t="shared" ref="N66:N68" si="47">IF(H66=0,0,L66/H66)</f>
        <v>0.35333333333333333</v>
      </c>
      <c r="O66" s="14"/>
      <c r="P66" s="1">
        <f>SUM(OSRRefP22_11x_0)</f>
        <v>203</v>
      </c>
      <c r="Q66" s="1"/>
      <c r="R66" s="5">
        <f t="shared" ref="R66:R68" si="48">IF(P$12=0,0,P66/P$12)</f>
        <v>0.28431372549019607</v>
      </c>
      <c r="S66" s="1"/>
      <c r="T66" s="1">
        <f>SUM(OSRRefT22_11x_0)</f>
        <v>150</v>
      </c>
      <c r="U66" s="1"/>
      <c r="V66" s="5">
        <f t="shared" ref="V66:V68" si="49">IF(T$12=0,0,T66/T$12)</f>
        <v>0.1029512697323267</v>
      </c>
      <c r="W66" s="1"/>
      <c r="X66" s="1">
        <f t="shared" ref="X66:X68" si="50">+P66-T66</f>
        <v>53</v>
      </c>
      <c r="Y66" s="1"/>
      <c r="Z66" s="5">
        <f t="shared" ref="Z66:Z68" si="51">IF(T66=0,0,X66/T66)</f>
        <v>0.35333333333333333</v>
      </c>
    </row>
    <row r="67" spans="1:26" s="24" customFormat="1" hidden="1" outlineLevel="2" x14ac:dyDescent="0.25">
      <c r="A67" s="27"/>
      <c r="B67" s="11" t="str">
        <f>CONCATENATE("          ", "6303", " - ", "DATA PHONE LINES")</f>
        <v xml:space="preserve">          6303 - DATA PHONE LINES</v>
      </c>
      <c r="C67" s="11"/>
      <c r="D67" s="6"/>
      <c r="E67" s="2"/>
      <c r="F67" s="7">
        <f t="shared" si="44"/>
        <v>0</v>
      </c>
      <c r="G67" s="2"/>
      <c r="H67" s="6">
        <v>75</v>
      </c>
      <c r="I67" s="2"/>
      <c r="J67" s="7">
        <f t="shared" si="45"/>
        <v>5.1475634866163349E-2</v>
      </c>
      <c r="K67" s="2"/>
      <c r="L67" s="6">
        <f t="shared" si="46"/>
        <v>-75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150</v>
      </c>
      <c r="U67" s="2"/>
      <c r="V67" s="7">
        <f t="shared" si="49"/>
        <v>0.1029512697323267</v>
      </c>
      <c r="W67" s="2"/>
      <c r="X67" s="6">
        <f t="shared" si="50"/>
        <v>-150</v>
      </c>
      <c r="Y67" s="2"/>
      <c r="Z67" s="7">
        <f t="shared" si="51"/>
        <v>-1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101.5</v>
      </c>
      <c r="E68" s="2"/>
      <c r="F68" s="7">
        <f t="shared" si="44"/>
        <v>0.14215686274509803</v>
      </c>
      <c r="G68" s="2"/>
      <c r="H68" s="6"/>
      <c r="I68" s="2"/>
      <c r="J68" s="7">
        <f t="shared" si="45"/>
        <v>0</v>
      </c>
      <c r="K68" s="2"/>
      <c r="L68" s="6">
        <f t="shared" si="46"/>
        <v>101.5</v>
      </c>
      <c r="M68" s="2"/>
      <c r="N68" s="7">
        <f t="shared" si="47"/>
        <v>0</v>
      </c>
      <c r="O68" s="11"/>
      <c r="P68" s="6">
        <v>203</v>
      </c>
      <c r="Q68" s="2"/>
      <c r="R68" s="7">
        <f t="shared" si="48"/>
        <v>0.28431372549019607</v>
      </c>
      <c r="S68" s="2"/>
      <c r="T68" s="6"/>
      <c r="U68" s="2"/>
      <c r="V68" s="7">
        <f t="shared" si="49"/>
        <v>0</v>
      </c>
      <c r="W68" s="2"/>
      <c r="X68" s="6">
        <f t="shared" si="50"/>
        <v>203</v>
      </c>
      <c r="Y68" s="2"/>
      <c r="Z68" s="7">
        <f t="shared" si="51"/>
        <v>0</v>
      </c>
    </row>
    <row r="69" spans="1:26" s="29" customFormat="1" outlineLevel="1" collapsed="1" x14ac:dyDescent="0.25">
      <c r="A69" s="28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SUM(OSRRefD22_12x_0)</f>
        <v>0</v>
      </c>
      <c r="E69" s="1"/>
      <c r="F69" s="5">
        <f t="shared" ref="F69:F72" si="52">IF(D$12=0,0,D69/D$12)</f>
        <v>0</v>
      </c>
      <c r="G69" s="1"/>
      <c r="H69" s="1">
        <f>SUM(OSRRefH22_12x_0)</f>
        <v>60</v>
      </c>
      <c r="I69" s="1"/>
      <c r="J69" s="5">
        <f t="shared" ref="J69:J72" si="53">IF(H$12=0,0,H69/H$12)</f>
        <v>4.1180507892930679E-2</v>
      </c>
      <c r="K69" s="1"/>
      <c r="L69" s="1">
        <f t="shared" ref="L69:L72" si="54">+D69-H69</f>
        <v>-60</v>
      </c>
      <c r="M69" s="1"/>
      <c r="N69" s="5">
        <f t="shared" ref="N69:N72" si="55">IF(H69=0,0,L69/H69)</f>
        <v>-1</v>
      </c>
      <c r="O69" s="14"/>
      <c r="P69" s="1">
        <f>SUM(OSRRefP22_12x_0)</f>
        <v>0</v>
      </c>
      <c r="Q69" s="1"/>
      <c r="R69" s="5">
        <f t="shared" ref="R69:R72" si="56">IF(P$12=0,0,P69/P$12)</f>
        <v>0</v>
      </c>
      <c r="S69" s="1"/>
      <c r="T69" s="1">
        <f>SUM(OSRRefT22_12x_0)</f>
        <v>60</v>
      </c>
      <c r="U69" s="1"/>
      <c r="V69" s="5">
        <f t="shared" ref="V69:V72" si="57">IF(T$12=0,0,T69/T$12)</f>
        <v>4.1180507892930679E-2</v>
      </c>
      <c r="W69" s="1"/>
      <c r="X69" s="1">
        <f t="shared" ref="X69:X72" si="58">+P69-T69</f>
        <v>-60</v>
      </c>
      <c r="Y69" s="1"/>
      <c r="Z69" s="5">
        <f t="shared" ref="Z69:Z72" si="59">IF(T69=0,0,X69/T69)</f>
        <v>-1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52"/>
        <v>0</v>
      </c>
      <c r="G70" s="2"/>
      <c r="H70" s="6">
        <v>60</v>
      </c>
      <c r="I70" s="2"/>
      <c r="J70" s="7">
        <f t="shared" si="53"/>
        <v>4.1180507892930679E-2</v>
      </c>
      <c r="K70" s="2"/>
      <c r="L70" s="6">
        <f t="shared" si="54"/>
        <v>-60</v>
      </c>
      <c r="M70" s="2"/>
      <c r="N70" s="7">
        <f t="shared" si="55"/>
        <v>-1</v>
      </c>
      <c r="O70" s="11"/>
      <c r="P70" s="6"/>
      <c r="Q70" s="2"/>
      <c r="R70" s="7">
        <f t="shared" si="56"/>
        <v>0</v>
      </c>
      <c r="S70" s="2"/>
      <c r="T70" s="6">
        <v>60</v>
      </c>
      <c r="U70" s="2"/>
      <c r="V70" s="7">
        <f t="shared" si="57"/>
        <v>4.1180507892930679E-2</v>
      </c>
      <c r="W70" s="2"/>
      <c r="X70" s="6">
        <f t="shared" si="58"/>
        <v>-60</v>
      </c>
      <c r="Y70" s="2"/>
      <c r="Z70" s="7">
        <f t="shared" si="59"/>
        <v>-1</v>
      </c>
    </row>
    <row r="71" spans="1:26" s="29" customFormat="1" outlineLevel="1" collapsed="1" x14ac:dyDescent="0.25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SUM(OSRRefD22_13x_0)</f>
        <v>50</v>
      </c>
      <c r="E71" s="1"/>
      <c r="F71" s="5">
        <f t="shared" si="52"/>
        <v>7.0028011204481794E-2</v>
      </c>
      <c r="G71" s="1"/>
      <c r="H71" s="1">
        <f>SUM(OSRRefH22_13x_0)</f>
        <v>50</v>
      </c>
      <c r="I71" s="1"/>
      <c r="J71" s="5">
        <f t="shared" si="53"/>
        <v>3.4317089910775568E-2</v>
      </c>
      <c r="K71" s="1"/>
      <c r="L71" s="1">
        <f t="shared" si="54"/>
        <v>0</v>
      </c>
      <c r="M71" s="1"/>
      <c r="N71" s="5">
        <f t="shared" si="55"/>
        <v>0</v>
      </c>
      <c r="O71" s="14"/>
      <c r="P71" s="1">
        <f>SUM(OSRRefP22_13x_0)</f>
        <v>100</v>
      </c>
      <c r="Q71" s="1"/>
      <c r="R71" s="5">
        <f t="shared" si="56"/>
        <v>0.14005602240896359</v>
      </c>
      <c r="S71" s="1"/>
      <c r="T71" s="1">
        <f>SUM(OSRRefT22_13x_0)</f>
        <v>100</v>
      </c>
      <c r="U71" s="1"/>
      <c r="V71" s="5">
        <f t="shared" si="57"/>
        <v>6.8634179821551136E-2</v>
      </c>
      <c r="W71" s="1"/>
      <c r="X71" s="1">
        <f t="shared" si="58"/>
        <v>0</v>
      </c>
      <c r="Y71" s="1"/>
      <c r="Z71" s="5">
        <f t="shared" si="59"/>
        <v>0</v>
      </c>
    </row>
    <row r="72" spans="1:26" s="24" customFormat="1" hidden="1" outlineLevel="2" x14ac:dyDescent="0.25">
      <c r="A72" s="27"/>
      <c r="B72" s="11" t="str">
        <f>CONCATENATE("          ", "6274", " - ", "UTILITIES")</f>
        <v xml:space="preserve">          6274 - UTILITIES</v>
      </c>
      <c r="C72" s="11"/>
      <c r="D72" s="6">
        <v>50</v>
      </c>
      <c r="E72" s="2"/>
      <c r="F72" s="7">
        <f t="shared" si="52"/>
        <v>7.0028011204481794E-2</v>
      </c>
      <c r="G72" s="2"/>
      <c r="H72" s="6">
        <v>50</v>
      </c>
      <c r="I72" s="2"/>
      <c r="J72" s="7">
        <f t="shared" si="53"/>
        <v>3.4317089910775568E-2</v>
      </c>
      <c r="K72" s="2"/>
      <c r="L72" s="6">
        <f t="shared" si="54"/>
        <v>0</v>
      </c>
      <c r="M72" s="2"/>
      <c r="N72" s="7">
        <f t="shared" si="55"/>
        <v>0</v>
      </c>
      <c r="O72" s="11"/>
      <c r="P72" s="6">
        <v>100</v>
      </c>
      <c r="Q72" s="2"/>
      <c r="R72" s="7">
        <f t="shared" si="56"/>
        <v>0.14005602240896359</v>
      </c>
      <c r="S72" s="2"/>
      <c r="T72" s="6">
        <v>100</v>
      </c>
      <c r="U72" s="2"/>
      <c r="V72" s="7">
        <f t="shared" si="57"/>
        <v>6.8634179821551136E-2</v>
      </c>
      <c r="W72" s="2"/>
      <c r="X72" s="6">
        <f t="shared" si="58"/>
        <v>0</v>
      </c>
      <c r="Y72" s="2"/>
      <c r="Z72" s="7">
        <f t="shared" si="59"/>
        <v>0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2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2" customFormat="1" x14ac:dyDescent="0.25">
      <c r="A76" s="10"/>
      <c r="B76" s="26" t="s">
        <v>3</v>
      </c>
      <c r="C76" s="26"/>
      <c r="D76" s="21">
        <f>+D21-D23+D74</f>
        <v>-7576.49</v>
      </c>
      <c r="E76" s="13"/>
      <c r="F76" s="20">
        <f>IF(D$12=0,0,D76/D$12)</f>
        <v>-10.611330532212884</v>
      </c>
      <c r="G76" s="13"/>
      <c r="H76" s="21">
        <f>+H21-H23+H74</f>
        <v>-5984.9114821000003</v>
      </c>
      <c r="I76" s="13"/>
      <c r="J76" s="20">
        <f>IF(H$12=0,0,H76/H$12)</f>
        <v>-4.1076949087851755</v>
      </c>
      <c r="K76" s="16"/>
      <c r="L76" s="21">
        <f>+D76-H76</f>
        <v>-1591.5785178999995</v>
      </c>
      <c r="M76" s="16"/>
      <c r="N76" s="20">
        <f>IF(H76=0,0,L76/H76)</f>
        <v>0.26593183920266478</v>
      </c>
      <c r="O76" s="25"/>
      <c r="P76" s="21">
        <f>+P21-P23+P74</f>
        <v>-13147.54</v>
      </c>
      <c r="Q76" s="13"/>
      <c r="R76" s="20">
        <f>IF(P$12=0,0,P76/P$12)</f>
        <v>-18.413921568627451</v>
      </c>
      <c r="S76" s="13"/>
      <c r="T76" s="21">
        <f>+T21-T23+T74</f>
        <v>-8184.9114821000003</v>
      </c>
      <c r="U76" s="13"/>
      <c r="V76" s="20">
        <f>IF(T$12=0,0,T76/T$12)</f>
        <v>-5.6176468648593003</v>
      </c>
      <c r="W76" s="16"/>
      <c r="X76" s="21">
        <f>+P76-T76</f>
        <v>-4962.6285179000006</v>
      </c>
      <c r="Y76" s="16"/>
      <c r="Z76" s="20">
        <f>IF(T76=0,0,X76/T76)</f>
        <v>0.6063142562693592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52"/>
      <c r="B78" s="10" t="s">
        <v>14</v>
      </c>
      <c r="C78" s="10"/>
      <c r="D78" s="4">
        <v>120.55</v>
      </c>
      <c r="E78" s="4"/>
      <c r="F78" s="12">
        <f>IF(D$12=0,0,D78/D$12)</f>
        <v>0.16883753501400559</v>
      </c>
      <c r="G78" s="4"/>
      <c r="H78" s="4">
        <v>238</v>
      </c>
      <c r="I78" s="4"/>
      <c r="J78" s="12">
        <f>IF(H$12=0,0,H78/H$12)</f>
        <v>0.16334934797529169</v>
      </c>
      <c r="K78" s="4"/>
      <c r="L78" s="4">
        <f>+D78-H78</f>
        <v>-117.45</v>
      </c>
      <c r="M78" s="4"/>
      <c r="N78" s="12">
        <f>IF(H78=0,0,L78/H78)</f>
        <v>-0.49348739495798322</v>
      </c>
      <c r="O78" s="10"/>
      <c r="P78" s="4">
        <v>120.55</v>
      </c>
      <c r="Q78" s="4"/>
      <c r="R78" s="12">
        <f>IF(P$12=0,0,P78/P$12)</f>
        <v>0.16883753501400559</v>
      </c>
      <c r="S78" s="4"/>
      <c r="T78" s="4">
        <v>238</v>
      </c>
      <c r="U78" s="4"/>
      <c r="V78" s="12">
        <f>IF(T$12=0,0,T78/T$12)</f>
        <v>0.16334934797529169</v>
      </c>
      <c r="W78" s="4"/>
      <c r="X78" s="4">
        <f>+P78-T78</f>
        <v>-117.45</v>
      </c>
      <c r="Y78" s="4"/>
      <c r="Z78" s="12">
        <f>IF(T78=0,0,X78/T78)</f>
        <v>-0.49348739495798322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ht="15.75" thickBot="1" x14ac:dyDescent="0.3">
      <c r="A80" s="10"/>
      <c r="B80" s="26" t="s">
        <v>4</v>
      </c>
      <c r="C80" s="26"/>
      <c r="D80" s="33">
        <f>+D76-D78</f>
        <v>-7697.04</v>
      </c>
      <c r="E80" s="13"/>
      <c r="F80" s="31">
        <f>IF(D$12=0,0,D80/D$12)</f>
        <v>-10.78016806722689</v>
      </c>
      <c r="G80" s="13"/>
      <c r="H80" s="33">
        <f>+H76-H78</f>
        <v>-6222.9114821000003</v>
      </c>
      <c r="I80" s="13"/>
      <c r="J80" s="31">
        <f>IF(H$12=0,0,H80/H$12)</f>
        <v>-4.271044256760467</v>
      </c>
      <c r="K80" s="16"/>
      <c r="L80" s="33">
        <f>D80-H80</f>
        <v>-1474.1285178999997</v>
      </c>
      <c r="M80" s="16"/>
      <c r="N80" s="31">
        <f>IF(H80=0,0,L80/H80)</f>
        <v>0.23688727087638667</v>
      </c>
      <c r="O80" s="25"/>
      <c r="P80" s="33">
        <f>+P76-P78</f>
        <v>-13268.09</v>
      </c>
      <c r="Q80" s="13"/>
      <c r="R80" s="31">
        <f>IF(P$12=0,0,P80/P$12)</f>
        <v>-18.582759103641457</v>
      </c>
      <c r="S80" s="13"/>
      <c r="T80" s="33">
        <f>+T76-T78</f>
        <v>-8422.9114821000003</v>
      </c>
      <c r="U80" s="13"/>
      <c r="V80" s="31">
        <f>IF(T$12=0,0,T80/T$12)</f>
        <v>-5.7809962128345918</v>
      </c>
      <c r="W80" s="16"/>
      <c r="X80" s="33">
        <f>P80-T80</f>
        <v>-4845.1785178999999</v>
      </c>
      <c r="Y80" s="16"/>
      <c r="Z80" s="31">
        <f>IF(T80=0,0,X80/T80)</f>
        <v>0.57523797183393888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2" customFormat="1" ht="15.75" thickBot="1" x14ac:dyDescent="0.3">
      <c r="A83" s="10"/>
      <c r="B83" s="26" t="s">
        <v>5</v>
      </c>
      <c r="C83" s="26"/>
      <c r="D83" s="32">
        <f>SUM(D80:D82)</f>
        <v>-7697.04</v>
      </c>
      <c r="E83" s="13"/>
      <c r="F83" s="35">
        <f>IF(D$12=0,0,D83/D$12)</f>
        <v>-10.78016806722689</v>
      </c>
      <c r="G83" s="13"/>
      <c r="H83" s="32">
        <f>SUM(H80:H82)</f>
        <v>-6222.9114821000003</v>
      </c>
      <c r="I83" s="13"/>
      <c r="J83" s="35">
        <f>IF(H$12=0,0,H83/H$12)</f>
        <v>-4.271044256760467</v>
      </c>
      <c r="K83" s="16"/>
      <c r="L83" s="32">
        <f>+D83-H83</f>
        <v>-1474.1285178999997</v>
      </c>
      <c r="M83" s="16"/>
      <c r="N83" s="35">
        <f>IF(H83=0,0,L83/H83)</f>
        <v>0.23688727087638667</v>
      </c>
      <c r="O83" s="25"/>
      <c r="P83" s="32">
        <f>SUM(P80:P82)</f>
        <v>-13268.09</v>
      </c>
      <c r="Q83" s="13"/>
      <c r="R83" s="35">
        <f>IF(P$12=0,0,P83/P$12)</f>
        <v>-18.582759103641457</v>
      </c>
      <c r="S83" s="13"/>
      <c r="T83" s="32">
        <f>SUM(T80:T82)</f>
        <v>-8422.9114821000003</v>
      </c>
      <c r="U83" s="13"/>
      <c r="V83" s="35">
        <f>IF(T$12=0,0,T83/T$12)</f>
        <v>-5.7809962128345918</v>
      </c>
      <c r="W83" s="16"/>
      <c r="X83" s="32">
        <f>+P83-T83</f>
        <v>-4845.1785178999999</v>
      </c>
      <c r="Y83" s="16"/>
      <c r="Z83" s="35">
        <f>IF(T83=0,0,X83/T83)</f>
        <v>0.57523797183393888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9">
        <v>44113.68962005787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2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","322", " - ", "Beach Hut")</f>
        <v>Department 322 - Beach Hut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collapsed="1" x14ac:dyDescent="0.25">
      <c r="A14" s="10"/>
      <c r="B14" s="25" t="s">
        <v>8</v>
      </c>
      <c r="C14" s="10"/>
      <c r="D14" s="4">
        <f>SUM(OSRRefD16x_0)</f>
        <v>-995.46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-995.46</v>
      </c>
      <c r="M14" s="4"/>
      <c r="N14" s="12">
        <f t="shared" ref="N14:N15" si="3">IF(H14=0,0,L14/H14)</f>
        <v>0</v>
      </c>
      <c r="O14" s="10"/>
      <c r="P14" s="4">
        <f>SUM(OSRRefP16x_0)</f>
        <v>-1222.33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-1222.33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51"/>
      <c r="B15" s="11" t="str">
        <f>CONCATENATE("          ", "5053", " - ", "PURCHASES @ COST-FOOD")</f>
        <v xml:space="preserve">          5053 - PURCHASES @ COST-FOOD</v>
      </c>
      <c r="C15" s="11"/>
      <c r="D15" s="2">
        <v>-995.46</v>
      </c>
      <c r="E15" s="2"/>
      <c r="F15" s="23">
        <f t="shared" si="0"/>
        <v>0</v>
      </c>
      <c r="G15" s="2"/>
      <c r="H15" s="2"/>
      <c r="I15" s="2"/>
      <c r="J15" s="23">
        <f t="shared" si="1"/>
        <v>0</v>
      </c>
      <c r="K15" s="2"/>
      <c r="L15" s="2">
        <f t="shared" si="2"/>
        <v>-995.46</v>
      </c>
      <c r="M15" s="2"/>
      <c r="N15" s="23">
        <f t="shared" si="3"/>
        <v>0</v>
      </c>
      <c r="O15" s="11"/>
      <c r="P15" s="2">
        <v>-1222.33</v>
      </c>
      <c r="Q15" s="2"/>
      <c r="R15" s="23">
        <f t="shared" si="4"/>
        <v>0</v>
      </c>
      <c r="S15" s="2"/>
      <c r="T15" s="2"/>
      <c r="U15" s="2"/>
      <c r="V15" s="23">
        <f t="shared" si="5"/>
        <v>0</v>
      </c>
      <c r="W15" s="2"/>
      <c r="X15" s="2">
        <f t="shared" si="6"/>
        <v>-1222.33</v>
      </c>
      <c r="Y15" s="2"/>
      <c r="Z15" s="23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D12-D14</f>
        <v>995.46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6"/>
      <c r="L17" s="21">
        <f>+D17-H17</f>
        <v>995.46</v>
      </c>
      <c r="M17" s="16"/>
      <c r="N17" s="20">
        <f>IF(H17=0,0,L17/H17)</f>
        <v>0</v>
      </c>
      <c r="O17" s="25"/>
      <c r="P17" s="21">
        <f>P12-P14</f>
        <v>1222.33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6"/>
      <c r="X17" s="21">
        <f>+P17-T17</f>
        <v>1222.33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1605.98</v>
      </c>
      <c r="E19" s="19"/>
      <c r="F19" s="30">
        <f t="shared" ref="F19:F28" si="8">IF(D$12=0,0,D19/D$12)</f>
        <v>0</v>
      </c>
      <c r="G19" s="19"/>
      <c r="H19" s="19">
        <f>SUM(OSRRefH22x_0)</f>
        <v>2017</v>
      </c>
      <c r="I19" s="19"/>
      <c r="J19" s="30">
        <f t="shared" ref="J19:J28" si="9">IF(H$12=0,0,H19/H$12)</f>
        <v>0</v>
      </c>
      <c r="K19" s="4"/>
      <c r="L19" s="19">
        <f t="shared" ref="L19:L28" si="10">+D19-H19</f>
        <v>-411.02</v>
      </c>
      <c r="M19" s="4"/>
      <c r="N19" s="30">
        <f t="shared" ref="N19:N28" si="11">IF(H19=0,0,L19/H19)</f>
        <v>-0.20377788795240456</v>
      </c>
      <c r="O19" s="10"/>
      <c r="P19" s="19">
        <f>SUM(OSRRefP22x_0)</f>
        <v>6849.05</v>
      </c>
      <c r="Q19" s="19"/>
      <c r="R19" s="30">
        <f t="shared" ref="R19:R28" si="12">IF(P$12=0,0,P19/P$12)</f>
        <v>0</v>
      </c>
      <c r="S19" s="19"/>
      <c r="T19" s="19">
        <f>SUM(OSRRefT22x_0)</f>
        <v>4034</v>
      </c>
      <c r="U19" s="19"/>
      <c r="V19" s="30">
        <f t="shared" ref="V19:V28" si="13">IF(T$12=0,0,T19/T$12)</f>
        <v>0</v>
      </c>
      <c r="W19" s="4"/>
      <c r="X19" s="19">
        <f t="shared" ref="X19:X28" si="14">+P19-T19</f>
        <v>2815.05</v>
      </c>
      <c r="Y19" s="4"/>
      <c r="Z19" s="30">
        <f t="shared" ref="Z19:Z28" si="15">IF(T19=0,0,X19/T19)</f>
        <v>0.69783093703520083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1595.9699999999998</v>
      </c>
      <c r="Q20" s="1"/>
      <c r="R20" s="5">
        <f t="shared" si="12"/>
        <v>0</v>
      </c>
      <c r="S20" s="1"/>
      <c r="T20" s="1">
        <f>SUM(OSRRefT22_0x_0)</f>
        <v>0</v>
      </c>
      <c r="U20" s="1"/>
      <c r="V20" s="5">
        <f t="shared" si="13"/>
        <v>0</v>
      </c>
      <c r="W20" s="1"/>
      <c r="X20" s="1">
        <f t="shared" si="14"/>
        <v>1595.9699999999998</v>
      </c>
      <c r="Y20" s="1"/>
      <c r="Z20" s="5">
        <f t="shared" si="15"/>
        <v>0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0</v>
      </c>
      <c r="I21" s="2"/>
      <c r="J21" s="7">
        <f t="shared" si="9"/>
        <v>0</v>
      </c>
      <c r="K21" s="2"/>
      <c r="L21" s="6">
        <f t="shared" si="10"/>
        <v>0</v>
      </c>
      <c r="M21" s="2"/>
      <c r="N21" s="7">
        <f t="shared" si="11"/>
        <v>0</v>
      </c>
      <c r="O21" s="11"/>
      <c r="P21" s="6">
        <v>159.12</v>
      </c>
      <c r="Q21" s="2"/>
      <c r="R21" s="7">
        <f t="shared" si="12"/>
        <v>0</v>
      </c>
      <c r="S21" s="2"/>
      <c r="T21" s="6">
        <v>0</v>
      </c>
      <c r="U21" s="2"/>
      <c r="V21" s="7">
        <f t="shared" si="13"/>
        <v>0</v>
      </c>
      <c r="W21" s="2"/>
      <c r="X21" s="6">
        <f t="shared" si="14"/>
        <v>159.12</v>
      </c>
      <c r="Y21" s="2"/>
      <c r="Z21" s="7">
        <f t="shared" si="15"/>
        <v>0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0</v>
      </c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/>
      <c r="Q22" s="2"/>
      <c r="R22" s="7">
        <f t="shared" si="12"/>
        <v>0</v>
      </c>
      <c r="S22" s="2"/>
      <c r="T22" s="6">
        <v>0</v>
      </c>
      <c r="U22" s="2"/>
      <c r="V22" s="7">
        <f t="shared" si="13"/>
        <v>0</v>
      </c>
      <c r="W22" s="2"/>
      <c r="X22" s="6">
        <f t="shared" si="14"/>
        <v>0</v>
      </c>
      <c r="Y22" s="2"/>
      <c r="Z22" s="7">
        <f t="shared" si="15"/>
        <v>0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0</v>
      </c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683.68</v>
      </c>
      <c r="Q23" s="2"/>
      <c r="R23" s="7">
        <f t="shared" si="12"/>
        <v>0</v>
      </c>
      <c r="S23" s="2"/>
      <c r="T23" s="6">
        <v>0</v>
      </c>
      <c r="U23" s="2"/>
      <c r="V23" s="7">
        <f t="shared" si="13"/>
        <v>0</v>
      </c>
      <c r="W23" s="2"/>
      <c r="X23" s="6">
        <f t="shared" si="14"/>
        <v>683.68</v>
      </c>
      <c r="Y23" s="2"/>
      <c r="Z23" s="7">
        <f t="shared" si="15"/>
        <v>0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0</v>
      </c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/>
      <c r="Q24" s="2"/>
      <c r="R24" s="7">
        <f t="shared" si="12"/>
        <v>0</v>
      </c>
      <c r="S24" s="2"/>
      <c r="T24" s="6">
        <v>0</v>
      </c>
      <c r="U24" s="2"/>
      <c r="V24" s="7">
        <f t="shared" si="13"/>
        <v>0</v>
      </c>
      <c r="W24" s="2"/>
      <c r="X24" s="6">
        <f t="shared" si="14"/>
        <v>0</v>
      </c>
      <c r="Y24" s="2"/>
      <c r="Z24" s="7">
        <f t="shared" si="15"/>
        <v>0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0</v>
      </c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>
        <v>321.57</v>
      </c>
      <c r="Q25" s="2"/>
      <c r="R25" s="7">
        <f t="shared" si="12"/>
        <v>0</v>
      </c>
      <c r="S25" s="2"/>
      <c r="T25" s="6">
        <v>0</v>
      </c>
      <c r="U25" s="2"/>
      <c r="V25" s="7">
        <f t="shared" si="13"/>
        <v>0</v>
      </c>
      <c r="W25" s="2"/>
      <c r="X25" s="6">
        <f t="shared" si="14"/>
        <v>321.57</v>
      </c>
      <c r="Y25" s="2"/>
      <c r="Z25" s="7">
        <f t="shared" si="15"/>
        <v>0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/>
      <c r="E27" s="2"/>
      <c r="F27" s="7">
        <f t="shared" si="8"/>
        <v>0</v>
      </c>
      <c r="G27" s="2"/>
      <c r="H27" s="6">
        <v>0</v>
      </c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>
        <v>239.72</v>
      </c>
      <c r="Q27" s="2"/>
      <c r="R27" s="7">
        <f t="shared" si="12"/>
        <v>0</v>
      </c>
      <c r="S27" s="2"/>
      <c r="T27" s="6">
        <v>0</v>
      </c>
      <c r="U27" s="2"/>
      <c r="V27" s="7">
        <f t="shared" si="13"/>
        <v>0</v>
      </c>
      <c r="W27" s="2"/>
      <c r="X27" s="6">
        <f t="shared" si="14"/>
        <v>239.72</v>
      </c>
      <c r="Y27" s="2"/>
      <c r="Z27" s="7">
        <f t="shared" si="15"/>
        <v>0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/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191.88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191.88</v>
      </c>
      <c r="Y28" s="2"/>
      <c r="Z28" s="7">
        <f t="shared" si="15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9" si="16">IF(D$12=0,0,D29/D$12)</f>
        <v>0</v>
      </c>
      <c r="G29" s="1"/>
      <c r="H29" s="1">
        <f>SUM(OSRRefH22_1x_0)</f>
        <v>0</v>
      </c>
      <c r="I29" s="1"/>
      <c r="J29" s="5">
        <f t="shared" ref="J29:J39" si="17">IF(H$12=0,0,H29/H$12)</f>
        <v>0</v>
      </c>
      <c r="K29" s="1"/>
      <c r="L29" s="1">
        <f t="shared" ref="L29:L39" si="18">+D29-H29</f>
        <v>0</v>
      </c>
      <c r="M29" s="1"/>
      <c r="N29" s="5">
        <f t="shared" ref="N29:N39" si="19">IF(H29=0,0,L29/H29)</f>
        <v>0</v>
      </c>
      <c r="O29" s="14"/>
      <c r="P29" s="1">
        <f>SUM(OSRRefP22_1x_0)</f>
        <v>2080</v>
      </c>
      <c r="Q29" s="1"/>
      <c r="R29" s="5">
        <f t="shared" ref="R29:R39" si="20">IF(P$12=0,0,P29/P$12)</f>
        <v>0</v>
      </c>
      <c r="S29" s="1"/>
      <c r="T29" s="1">
        <f>SUM(OSRRefT22_1x_0)</f>
        <v>0</v>
      </c>
      <c r="U29" s="1"/>
      <c r="V29" s="5">
        <f t="shared" ref="V29:V39" si="21">IF(T$12=0,0,T29/T$12)</f>
        <v>0</v>
      </c>
      <c r="W29" s="1"/>
      <c r="X29" s="1">
        <f t="shared" ref="X29:X39" si="22">+P29-T29</f>
        <v>2080</v>
      </c>
      <c r="Y29" s="1"/>
      <c r="Z29" s="5">
        <f t="shared" ref="Z29:Z39" si="23">IF(T29=0,0,X29/T29)</f>
        <v>0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0</v>
      </c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/>
      <c r="Q30" s="2"/>
      <c r="R30" s="7">
        <f t="shared" si="20"/>
        <v>0</v>
      </c>
      <c r="S30" s="2"/>
      <c r="T30" s="6">
        <v>0</v>
      </c>
      <c r="U30" s="2"/>
      <c r="V30" s="7">
        <f t="shared" si="21"/>
        <v>0</v>
      </c>
      <c r="W30" s="2"/>
      <c r="X30" s="6">
        <f t="shared" si="22"/>
        <v>0</v>
      </c>
      <c r="Y30" s="2"/>
      <c r="Z30" s="7">
        <f t="shared" si="23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16"/>
        <v>0</v>
      </c>
      <c r="G31" s="2"/>
      <c r="H31" s="6">
        <v>0</v>
      </c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>
        <v>2080</v>
      </c>
      <c r="Q31" s="2"/>
      <c r="R31" s="7">
        <f t="shared" si="20"/>
        <v>0</v>
      </c>
      <c r="S31" s="2"/>
      <c r="T31" s="6">
        <v>0</v>
      </c>
      <c r="U31" s="2"/>
      <c r="V31" s="7">
        <f t="shared" si="21"/>
        <v>0</v>
      </c>
      <c r="W31" s="2"/>
      <c r="X31" s="6">
        <f t="shared" si="22"/>
        <v>2080</v>
      </c>
      <c r="Y31" s="2"/>
      <c r="Z31" s="7">
        <f t="shared" si="23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2" si="24">IF(D$12=0,0,D40/D$12)</f>
        <v>0</v>
      </c>
      <c r="G40" s="1"/>
      <c r="H40" s="1">
        <f>SUM(OSRRefH22_2x_0)</f>
        <v>0</v>
      </c>
      <c r="I40" s="1"/>
      <c r="J40" s="5">
        <f t="shared" ref="J40:J52" si="25">IF(H$12=0,0,H40/H$12)</f>
        <v>0</v>
      </c>
      <c r="K40" s="1"/>
      <c r="L40" s="1">
        <f t="shared" ref="L40:L52" si="26">+D40-H40</f>
        <v>0</v>
      </c>
      <c r="M40" s="1"/>
      <c r="N40" s="5">
        <f t="shared" ref="N40:N52" si="27">IF(H40=0,0,L40/H40)</f>
        <v>0</v>
      </c>
      <c r="O40" s="14"/>
      <c r="P40" s="1">
        <f>SUM(OSRRefP22_2x_0)</f>
        <v>0</v>
      </c>
      <c r="Q40" s="1"/>
      <c r="R40" s="5">
        <f t="shared" ref="R40:R52" si="28">IF(P$12=0,0,P40/P$12)</f>
        <v>0</v>
      </c>
      <c r="S40" s="1"/>
      <c r="T40" s="1">
        <f>SUM(OSRRefT22_2x_0)</f>
        <v>0</v>
      </c>
      <c r="U40" s="1"/>
      <c r="V40" s="5">
        <f t="shared" ref="V40:V52" si="29">IF(T$12=0,0,T40/T$12)</f>
        <v>0</v>
      </c>
      <c r="W40" s="1"/>
      <c r="X40" s="1">
        <f t="shared" ref="X40:X52" si="30">+P40-T40</f>
        <v>0</v>
      </c>
      <c r="Y40" s="1"/>
      <c r="Z40" s="5">
        <f t="shared" ref="Z40:Z52" si="31">IF(T40=0,0,X40/T40)</f>
        <v>0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4"/>
        <v>0</v>
      </c>
      <c r="G41" s="2"/>
      <c r="H41" s="6">
        <v>0</v>
      </c>
      <c r="I41" s="2"/>
      <c r="J41" s="7">
        <f t="shared" si="25"/>
        <v>0</v>
      </c>
      <c r="K41" s="2"/>
      <c r="L41" s="6">
        <f t="shared" si="26"/>
        <v>0</v>
      </c>
      <c r="M41" s="2"/>
      <c r="N41" s="7">
        <f t="shared" si="27"/>
        <v>0</v>
      </c>
      <c r="O41" s="11"/>
      <c r="P41" s="6"/>
      <c r="Q41" s="2"/>
      <c r="R41" s="7">
        <f t="shared" si="28"/>
        <v>0</v>
      </c>
      <c r="S41" s="2"/>
      <c r="T41" s="6">
        <v>0</v>
      </c>
      <c r="U41" s="2"/>
      <c r="V41" s="7">
        <f t="shared" si="29"/>
        <v>0</v>
      </c>
      <c r="W41" s="2"/>
      <c r="X41" s="6">
        <f t="shared" si="30"/>
        <v>0</v>
      </c>
      <c r="Y41" s="2"/>
      <c r="Z41" s="7">
        <f t="shared" si="31"/>
        <v>0</v>
      </c>
    </row>
    <row r="42" spans="1:26" s="29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0</v>
      </c>
      <c r="E42" s="1"/>
      <c r="F42" s="5">
        <f t="shared" si="24"/>
        <v>0</v>
      </c>
      <c r="G42" s="1"/>
      <c r="H42" s="1">
        <f>SUM(OSRRefH22_3x_0)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SUM(OSRRefP22_3x_0)</f>
        <v>0</v>
      </c>
      <c r="Q42" s="1"/>
      <c r="R42" s="5">
        <f t="shared" si="28"/>
        <v>0</v>
      </c>
      <c r="S42" s="1"/>
      <c r="T42" s="1">
        <f>SUM(OSRRefT22_3x_0)</f>
        <v>0</v>
      </c>
      <c r="U42" s="1"/>
      <c r="V42" s="5">
        <f t="shared" si="29"/>
        <v>0</v>
      </c>
      <c r="W42" s="1"/>
      <c r="X42" s="1">
        <f t="shared" si="30"/>
        <v>0</v>
      </c>
      <c r="Y42" s="1"/>
      <c r="Z42" s="5">
        <f t="shared" si="31"/>
        <v>0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/>
      <c r="E43" s="2"/>
      <c r="F43" s="7">
        <f t="shared" si="24"/>
        <v>0</v>
      </c>
      <c r="G43" s="2"/>
      <c r="H43" s="6">
        <v>0</v>
      </c>
      <c r="I43" s="2"/>
      <c r="J43" s="7">
        <f t="shared" si="25"/>
        <v>0</v>
      </c>
      <c r="K43" s="2"/>
      <c r="L43" s="6">
        <f t="shared" si="26"/>
        <v>0</v>
      </c>
      <c r="M43" s="2"/>
      <c r="N43" s="7">
        <f t="shared" si="27"/>
        <v>0</v>
      </c>
      <c r="O43" s="11"/>
      <c r="P43" s="6"/>
      <c r="Q43" s="2"/>
      <c r="R43" s="7">
        <f t="shared" si="28"/>
        <v>0</v>
      </c>
      <c r="S43" s="2"/>
      <c r="T43" s="6">
        <v>0</v>
      </c>
      <c r="U43" s="2"/>
      <c r="V43" s="7">
        <f t="shared" si="29"/>
        <v>0</v>
      </c>
      <c r="W43" s="2"/>
      <c r="X43" s="6">
        <f t="shared" si="30"/>
        <v>0</v>
      </c>
      <c r="Y43" s="2"/>
      <c r="Z43" s="7">
        <f t="shared" si="31"/>
        <v>0</v>
      </c>
    </row>
    <row r="44" spans="1:26" s="29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2017.34</v>
      </c>
      <c r="E44" s="1"/>
      <c r="F44" s="5">
        <f t="shared" si="24"/>
        <v>0</v>
      </c>
      <c r="G44" s="1"/>
      <c r="H44" s="1">
        <f>SUM(OSRRefH22_4x_0)</f>
        <v>2017</v>
      </c>
      <c r="I44" s="1"/>
      <c r="J44" s="5">
        <f t="shared" si="25"/>
        <v>0</v>
      </c>
      <c r="K44" s="1"/>
      <c r="L44" s="1">
        <f t="shared" si="26"/>
        <v>0.33999999999991815</v>
      </c>
      <c r="M44" s="1"/>
      <c r="N44" s="5">
        <f t="shared" si="27"/>
        <v>1.6856717897864064E-4</v>
      </c>
      <c r="O44" s="14"/>
      <c r="P44" s="1">
        <f>SUM(OSRRefP22_4x_0)</f>
        <v>4034.68</v>
      </c>
      <c r="Q44" s="1"/>
      <c r="R44" s="5">
        <f t="shared" si="28"/>
        <v>0</v>
      </c>
      <c r="S44" s="1"/>
      <c r="T44" s="1">
        <f>SUM(OSRRefT22_4x_0)</f>
        <v>4034</v>
      </c>
      <c r="U44" s="1"/>
      <c r="V44" s="5">
        <f t="shared" si="29"/>
        <v>0</v>
      </c>
      <c r="W44" s="1"/>
      <c r="X44" s="1">
        <f t="shared" si="30"/>
        <v>0.67999999999983629</v>
      </c>
      <c r="Y44" s="1"/>
      <c r="Z44" s="5">
        <f t="shared" si="31"/>
        <v>1.6856717897864064E-4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2017.34</v>
      </c>
      <c r="E45" s="2"/>
      <c r="F45" s="7">
        <f t="shared" si="24"/>
        <v>0</v>
      </c>
      <c r="G45" s="2"/>
      <c r="H45" s="6">
        <v>2017</v>
      </c>
      <c r="I45" s="2"/>
      <c r="J45" s="7">
        <f t="shared" si="25"/>
        <v>0</v>
      </c>
      <c r="K45" s="2"/>
      <c r="L45" s="6">
        <f t="shared" si="26"/>
        <v>0.33999999999991815</v>
      </c>
      <c r="M45" s="2"/>
      <c r="N45" s="7">
        <f t="shared" si="27"/>
        <v>1.6856717897864064E-4</v>
      </c>
      <c r="O45" s="11"/>
      <c r="P45" s="6">
        <v>4034.68</v>
      </c>
      <c r="Q45" s="2"/>
      <c r="R45" s="7">
        <f t="shared" si="28"/>
        <v>0</v>
      </c>
      <c r="S45" s="2"/>
      <c r="T45" s="6">
        <v>4034</v>
      </c>
      <c r="U45" s="2"/>
      <c r="V45" s="7">
        <f t="shared" si="29"/>
        <v>0</v>
      </c>
      <c r="W45" s="2"/>
      <c r="X45" s="6">
        <f t="shared" si="30"/>
        <v>0.67999999999983629</v>
      </c>
      <c r="Y45" s="2"/>
      <c r="Z45" s="7">
        <f t="shared" si="31"/>
        <v>1.6856717897864064E-4</v>
      </c>
    </row>
    <row r="46" spans="1:26" s="29" customFormat="1" outlineLevel="1" collapsed="1" x14ac:dyDescent="0.25">
      <c r="A46" s="28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SUM(OSRRefD22_5x_0)</f>
        <v>0</v>
      </c>
      <c r="E46" s="1"/>
      <c r="F46" s="5">
        <f t="shared" si="24"/>
        <v>0</v>
      </c>
      <c r="G46" s="1"/>
      <c r="H46" s="1">
        <f>SUM(OSRRefH22_5x_0)</f>
        <v>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4"/>
      <c r="P46" s="1">
        <f>SUM(OSRRefP22_5x_0)</f>
        <v>0</v>
      </c>
      <c r="Q46" s="1"/>
      <c r="R46" s="5">
        <f t="shared" si="28"/>
        <v>0</v>
      </c>
      <c r="S46" s="1"/>
      <c r="T46" s="1">
        <f>SUM(OSRRefT22_5x_0)</f>
        <v>0</v>
      </c>
      <c r="U46" s="1"/>
      <c r="V46" s="5">
        <f t="shared" si="29"/>
        <v>0</v>
      </c>
      <c r="W46" s="1"/>
      <c r="X46" s="1">
        <f t="shared" si="30"/>
        <v>0</v>
      </c>
      <c r="Y46" s="1"/>
      <c r="Z46" s="5">
        <f t="shared" si="31"/>
        <v>0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0</v>
      </c>
      <c r="U47" s="2"/>
      <c r="V47" s="7">
        <f t="shared" si="29"/>
        <v>0</v>
      </c>
      <c r="W47" s="2"/>
      <c r="X47" s="6">
        <f t="shared" si="30"/>
        <v>0</v>
      </c>
      <c r="Y47" s="2"/>
      <c r="Z47" s="7">
        <f t="shared" si="31"/>
        <v>0</v>
      </c>
    </row>
    <row r="48" spans="1:26" s="29" customFormat="1" outlineLevel="1" collapsed="1" x14ac:dyDescent="0.25">
      <c r="A48" s="28"/>
      <c r="B48" s="14" t="str">
        <f>CONCATENATE("     ","Rent                                              ")</f>
        <v xml:space="preserve">     Rent     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7"/>
      <c r="B49" s="11" t="str">
        <f>CONCATENATE("          ", "6273", " - ", "RENT")</f>
        <v xml:space="preserve">          6273 - RENT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0</v>
      </c>
      <c r="U49" s="2"/>
      <c r="V49" s="7">
        <f t="shared" si="29"/>
        <v>0</v>
      </c>
      <c r="W49" s="2"/>
      <c r="X49" s="6">
        <f t="shared" si="30"/>
        <v>0</v>
      </c>
      <c r="Y49" s="2"/>
      <c r="Z49" s="7">
        <f t="shared" si="31"/>
        <v>0</v>
      </c>
    </row>
    <row r="50" spans="1:26" s="29" customFormat="1" outlineLevel="1" collapsed="1" x14ac:dyDescent="0.25">
      <c r="A50" s="28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SUM(OSRRefD22_7x_0)</f>
        <v>78.599999999999994</v>
      </c>
      <c r="E50" s="1"/>
      <c r="F50" s="5">
        <f t="shared" si="24"/>
        <v>0</v>
      </c>
      <c r="G50" s="1"/>
      <c r="H50" s="1">
        <f>SUM(OSRRefH22_7x_0)</f>
        <v>0</v>
      </c>
      <c r="I50" s="1"/>
      <c r="J50" s="5">
        <f t="shared" si="25"/>
        <v>0</v>
      </c>
      <c r="K50" s="1"/>
      <c r="L50" s="1">
        <f t="shared" si="26"/>
        <v>78.599999999999994</v>
      </c>
      <c r="M50" s="1"/>
      <c r="N50" s="5">
        <f t="shared" si="27"/>
        <v>0</v>
      </c>
      <c r="O50" s="14"/>
      <c r="P50" s="1">
        <f>SUM(OSRRefP22_7x_0)</f>
        <v>78.599999999999994</v>
      </c>
      <c r="Q50" s="1"/>
      <c r="R50" s="5">
        <f t="shared" si="28"/>
        <v>0</v>
      </c>
      <c r="S50" s="1"/>
      <c r="T50" s="1">
        <f>SUM(OSRRefT22_7x_0)</f>
        <v>0</v>
      </c>
      <c r="U50" s="1"/>
      <c r="V50" s="5">
        <f t="shared" si="29"/>
        <v>0</v>
      </c>
      <c r="W50" s="1"/>
      <c r="X50" s="1">
        <f t="shared" si="30"/>
        <v>78.599999999999994</v>
      </c>
      <c r="Y50" s="1"/>
      <c r="Z50" s="5">
        <f t="shared" si="31"/>
        <v>0</v>
      </c>
    </row>
    <row r="51" spans="1:26" s="24" customFormat="1" hidden="1" outlineLevel="2" x14ac:dyDescent="0.25">
      <c r="A51" s="27"/>
      <c r="B51" s="11" t="str">
        <f>CONCATENATE("          ", "6373", " - ", "MAINTENANCE CONTRACTS")</f>
        <v xml:space="preserve">          6373 - MAINTENANCE CONTRACTS</v>
      </c>
      <c r="C51" s="11"/>
      <c r="D51" s="6">
        <v>78.599999999999994</v>
      </c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78.599999999999994</v>
      </c>
      <c r="M51" s="2"/>
      <c r="N51" s="7">
        <f t="shared" si="27"/>
        <v>0</v>
      </c>
      <c r="O51" s="11"/>
      <c r="P51" s="6">
        <v>78.599999999999994</v>
      </c>
      <c r="Q51" s="2"/>
      <c r="R51" s="7">
        <f t="shared" si="28"/>
        <v>0</v>
      </c>
      <c r="S51" s="2"/>
      <c r="T51" s="6"/>
      <c r="U51" s="2"/>
      <c r="V51" s="7">
        <f t="shared" si="29"/>
        <v>0</v>
      </c>
      <c r="W51" s="2"/>
      <c r="X51" s="6">
        <f t="shared" si="30"/>
        <v>78.599999999999994</v>
      </c>
      <c r="Y51" s="2"/>
      <c r="Z51" s="7">
        <f t="shared" si="31"/>
        <v>0</v>
      </c>
    </row>
    <row r="52" spans="1:26" s="24" customFormat="1" hidden="1" outlineLevel="2" x14ac:dyDescent="0.25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/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0</v>
      </c>
      <c r="M52" s="2"/>
      <c r="N52" s="7">
        <f t="shared" si="27"/>
        <v>0</v>
      </c>
      <c r="O52" s="11"/>
      <c r="P52" s="6"/>
      <c r="Q52" s="2"/>
      <c r="R52" s="7">
        <f t="shared" si="28"/>
        <v>0</v>
      </c>
      <c r="S52" s="2"/>
      <c r="T52" s="6">
        <v>0</v>
      </c>
      <c r="U52" s="2"/>
      <c r="V52" s="7">
        <f t="shared" si="29"/>
        <v>0</v>
      </c>
      <c r="W52" s="2"/>
      <c r="X52" s="6">
        <f t="shared" si="30"/>
        <v>0</v>
      </c>
      <c r="Y52" s="2"/>
      <c r="Z52" s="7">
        <f t="shared" si="31"/>
        <v>0</v>
      </c>
    </row>
    <row r="53" spans="1:26" s="29" customFormat="1" outlineLevel="1" collapsed="1" x14ac:dyDescent="0.25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SUM(OSRRefD22_8x_0)</f>
        <v>-567.28</v>
      </c>
      <c r="E53" s="1"/>
      <c r="F53" s="5">
        <f t="shared" ref="F53:F55" si="32">IF(D$12=0,0,D53/D$12)</f>
        <v>0</v>
      </c>
      <c r="G53" s="1"/>
      <c r="H53" s="1">
        <f>SUM(OSRRefH22_8x_0)</f>
        <v>0</v>
      </c>
      <c r="I53" s="1"/>
      <c r="J53" s="5">
        <f t="shared" ref="J53:J55" si="33">IF(H$12=0,0,H53/H$12)</f>
        <v>0</v>
      </c>
      <c r="K53" s="1"/>
      <c r="L53" s="1">
        <f t="shared" ref="L53:L55" si="34">+D53-H53</f>
        <v>-567.28</v>
      </c>
      <c r="M53" s="1"/>
      <c r="N53" s="5">
        <f t="shared" ref="N53:N55" si="35">IF(H53=0,0,L53/H53)</f>
        <v>0</v>
      </c>
      <c r="O53" s="14"/>
      <c r="P53" s="1">
        <f>SUM(OSRRefP22_8x_0)</f>
        <v>-1053.52</v>
      </c>
      <c r="Q53" s="1"/>
      <c r="R53" s="5">
        <f t="shared" ref="R53:R55" si="36">IF(P$12=0,0,P53/P$12)</f>
        <v>0</v>
      </c>
      <c r="S53" s="1"/>
      <c r="T53" s="1">
        <f>SUM(OSRRefT22_8x_0)</f>
        <v>0</v>
      </c>
      <c r="U53" s="1"/>
      <c r="V53" s="5">
        <f t="shared" ref="V53:V55" si="37">IF(T$12=0,0,T53/T$12)</f>
        <v>0</v>
      </c>
      <c r="W53" s="1"/>
      <c r="X53" s="1">
        <f t="shared" ref="X53:X55" si="38">+P53-T53</f>
        <v>-1053.52</v>
      </c>
      <c r="Y53" s="1"/>
      <c r="Z53" s="5">
        <f t="shared" ref="Z53:Z55" si="39">IF(T53=0,0,X53/T53)</f>
        <v>0</v>
      </c>
    </row>
    <row r="54" spans="1:26" s="24" customFormat="1" hidden="1" outlineLevel="2" x14ac:dyDescent="0.25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-567.28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-567.28</v>
      </c>
      <c r="M54" s="2"/>
      <c r="N54" s="7">
        <f t="shared" si="35"/>
        <v>0</v>
      </c>
      <c r="O54" s="11"/>
      <c r="P54" s="6">
        <v>-567.28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-567.28</v>
      </c>
      <c r="Y54" s="2"/>
      <c r="Z54" s="7">
        <f t="shared" si="39"/>
        <v>0</v>
      </c>
    </row>
    <row r="55" spans="1:26" s="24" customFormat="1" hidden="1" outlineLevel="2" x14ac:dyDescent="0.25">
      <c r="A55" s="27"/>
      <c r="B55" s="11" t="str">
        <f>CONCATENATE("          ", "6285", " - ", "JANITORIAL SERVICES")</f>
        <v xml:space="preserve">          6285 - JANITORIAL SERVICES</v>
      </c>
      <c r="C55" s="11"/>
      <c r="D55" s="6"/>
      <c r="E55" s="2"/>
      <c r="F55" s="7">
        <f t="shared" si="32"/>
        <v>0</v>
      </c>
      <c r="G55" s="2"/>
      <c r="H55" s="6">
        <v>0</v>
      </c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>
        <v>-486.24</v>
      </c>
      <c r="Q55" s="2"/>
      <c r="R55" s="7">
        <f t="shared" si="36"/>
        <v>0</v>
      </c>
      <c r="S55" s="2"/>
      <c r="T55" s="6">
        <v>0</v>
      </c>
      <c r="U55" s="2"/>
      <c r="V55" s="7">
        <f t="shared" si="37"/>
        <v>0</v>
      </c>
      <c r="W55" s="2"/>
      <c r="X55" s="6">
        <f t="shared" si="38"/>
        <v>-486.24</v>
      </c>
      <c r="Y55" s="2"/>
      <c r="Z55" s="7">
        <f t="shared" si="39"/>
        <v>0</v>
      </c>
    </row>
    <row r="56" spans="1:26" s="29" customFormat="1" outlineLevel="1" collapsed="1" x14ac:dyDescent="0.25">
      <c r="A56" s="28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SUM(OSRRefD22_9x_0)</f>
        <v>41.32</v>
      </c>
      <c r="E56" s="1"/>
      <c r="F56" s="5">
        <f t="shared" ref="F56:F60" si="40">IF(D$12=0,0,D56/D$12)</f>
        <v>0</v>
      </c>
      <c r="G56" s="1"/>
      <c r="H56" s="1">
        <f>SUM(OSRRefH22_9x_0)</f>
        <v>0</v>
      </c>
      <c r="I56" s="1"/>
      <c r="J56" s="5">
        <f t="shared" ref="J56:J60" si="41">IF(H$12=0,0,H56/H$12)</f>
        <v>0</v>
      </c>
      <c r="K56" s="1"/>
      <c r="L56" s="1">
        <f t="shared" ref="L56:L60" si="42">+D56-H56</f>
        <v>41.32</v>
      </c>
      <c r="M56" s="1"/>
      <c r="N56" s="5">
        <f t="shared" ref="N56:N60" si="43">IF(H56=0,0,L56/H56)</f>
        <v>0</v>
      </c>
      <c r="O56" s="14"/>
      <c r="P56" s="1">
        <f>SUM(OSRRefP22_9x_0)</f>
        <v>41.32</v>
      </c>
      <c r="Q56" s="1"/>
      <c r="R56" s="5">
        <f t="shared" ref="R56:R60" si="44">IF(P$12=0,0,P56/P$12)</f>
        <v>0</v>
      </c>
      <c r="S56" s="1"/>
      <c r="T56" s="1">
        <f>SUM(OSRRefT22_9x_0)</f>
        <v>0</v>
      </c>
      <c r="U56" s="1"/>
      <c r="V56" s="5">
        <f t="shared" ref="V56:V60" si="45">IF(T$12=0,0,T56/T$12)</f>
        <v>0</v>
      </c>
      <c r="W56" s="1"/>
      <c r="X56" s="1">
        <f t="shared" ref="X56:X60" si="46">+P56-T56</f>
        <v>41.32</v>
      </c>
      <c r="Y56" s="1"/>
      <c r="Z56" s="5">
        <f t="shared" ref="Z56:Z60" si="47">IF(T56=0,0,X56/T56)</f>
        <v>0</v>
      </c>
    </row>
    <row r="57" spans="1:26" s="24" customFormat="1" hidden="1" outlineLevel="2" x14ac:dyDescent="0.25">
      <c r="A57" s="27"/>
      <c r="B57" s="11" t="str">
        <f>CONCATENATE("          ", "6235", " - ", "COVID-19 EXPENSES")</f>
        <v xml:space="preserve">          6235 - COVID-19 EXPENSES</v>
      </c>
      <c r="C57" s="11"/>
      <c r="D57" s="6"/>
      <c r="E57" s="2"/>
      <c r="F57" s="7">
        <f t="shared" si="40"/>
        <v>0</v>
      </c>
      <c r="G57" s="2"/>
      <c r="H57" s="6">
        <v>0</v>
      </c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1"/>
      <c r="P57" s="6"/>
      <c r="Q57" s="2"/>
      <c r="R57" s="7">
        <f t="shared" si="44"/>
        <v>0</v>
      </c>
      <c r="S57" s="2"/>
      <c r="T57" s="6">
        <v>0</v>
      </c>
      <c r="U57" s="2"/>
      <c r="V57" s="7">
        <f t="shared" si="45"/>
        <v>0</v>
      </c>
      <c r="W57" s="2"/>
      <c r="X57" s="6">
        <f t="shared" si="46"/>
        <v>0</v>
      </c>
      <c r="Y57" s="2"/>
      <c r="Z57" s="7">
        <f t="shared" si="47"/>
        <v>0</v>
      </c>
    </row>
    <row r="58" spans="1:26" s="24" customFormat="1" hidden="1" outlineLevel="2" x14ac:dyDescent="0.25">
      <c r="A58" s="27"/>
      <c r="B58" s="11" t="str">
        <f>CONCATENATE("          ", "6241", " - ", "OFFICE EXPENSE")</f>
        <v xml:space="preserve">          6241 - OFFICE EXPENSE</v>
      </c>
      <c r="C58" s="11"/>
      <c r="D58" s="6">
        <v>41.32</v>
      </c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41.32</v>
      </c>
      <c r="M58" s="2"/>
      <c r="N58" s="7">
        <f t="shared" si="43"/>
        <v>0</v>
      </c>
      <c r="O58" s="11"/>
      <c r="P58" s="6">
        <v>41.32</v>
      </c>
      <c r="Q58" s="2"/>
      <c r="R58" s="7">
        <f t="shared" si="44"/>
        <v>0</v>
      </c>
      <c r="S58" s="2"/>
      <c r="T58" s="6"/>
      <c r="U58" s="2"/>
      <c r="V58" s="7">
        <f t="shared" si="45"/>
        <v>0</v>
      </c>
      <c r="W58" s="2"/>
      <c r="X58" s="6">
        <f t="shared" si="46"/>
        <v>41.32</v>
      </c>
      <c r="Y58" s="2"/>
      <c r="Z58" s="7">
        <f t="shared" si="47"/>
        <v>0</v>
      </c>
    </row>
    <row r="59" spans="1:26" s="24" customFormat="1" hidden="1" outlineLevel="2" x14ac:dyDescent="0.25">
      <c r="A59" s="27"/>
      <c r="B59" s="11" t="str">
        <f>CONCATENATE("          ", "6247", " - ", "STORE SUPPLIES")</f>
        <v xml:space="preserve">          6247 - STORE SUPPLIES</v>
      </c>
      <c r="C59" s="11"/>
      <c r="D59" s="6"/>
      <c r="E59" s="2"/>
      <c r="F59" s="7">
        <f t="shared" si="40"/>
        <v>0</v>
      </c>
      <c r="G59" s="2"/>
      <c r="H59" s="6">
        <v>0</v>
      </c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/>
      <c r="Q59" s="2"/>
      <c r="R59" s="7">
        <f t="shared" si="44"/>
        <v>0</v>
      </c>
      <c r="S59" s="2"/>
      <c r="T59" s="6">
        <v>0</v>
      </c>
      <c r="U59" s="2"/>
      <c r="V59" s="7">
        <f t="shared" si="45"/>
        <v>0</v>
      </c>
      <c r="W59" s="2"/>
      <c r="X59" s="6">
        <f t="shared" si="46"/>
        <v>0</v>
      </c>
      <c r="Y59" s="2"/>
      <c r="Z59" s="7">
        <f t="shared" si="47"/>
        <v>0</v>
      </c>
    </row>
    <row r="60" spans="1:26" s="24" customFormat="1" hidden="1" outlineLevel="2" x14ac:dyDescent="0.25">
      <c r="A60" s="27"/>
      <c r="B60" s="11" t="str">
        <f>CONCATENATE("          ", "6248", " - ", "UNIFORMS")</f>
        <v xml:space="preserve">          6248 - UNIFORMS</v>
      </c>
      <c r="C60" s="11"/>
      <c r="D60" s="6"/>
      <c r="E60" s="2"/>
      <c r="F60" s="7">
        <f t="shared" si="40"/>
        <v>0</v>
      </c>
      <c r="G60" s="2"/>
      <c r="H60" s="6">
        <v>0</v>
      </c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/>
      <c r="Q60" s="2"/>
      <c r="R60" s="7">
        <f t="shared" si="44"/>
        <v>0</v>
      </c>
      <c r="S60" s="2"/>
      <c r="T60" s="6">
        <v>0</v>
      </c>
      <c r="U60" s="2"/>
      <c r="V60" s="7">
        <f t="shared" si="45"/>
        <v>0</v>
      </c>
      <c r="W60" s="2"/>
      <c r="X60" s="6">
        <f t="shared" si="46"/>
        <v>0</v>
      </c>
      <c r="Y60" s="2"/>
      <c r="Z60" s="7">
        <f t="shared" si="47"/>
        <v>0</v>
      </c>
    </row>
    <row r="61" spans="1:26" s="29" customFormat="1" outlineLevel="1" collapsed="1" x14ac:dyDescent="0.25">
      <c r="A61" s="28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36</v>
      </c>
      <c r="E61" s="1"/>
      <c r="F61" s="5">
        <f t="shared" ref="F61:F64" si="48">IF(D$12=0,0,D61/D$12)</f>
        <v>0</v>
      </c>
      <c r="G61" s="1"/>
      <c r="H61" s="1">
        <f>SUM(OSRRefH22_10x_0)</f>
        <v>0</v>
      </c>
      <c r="I61" s="1"/>
      <c r="J61" s="5">
        <f t="shared" ref="J61:J64" si="49">IF(H$12=0,0,H61/H$12)</f>
        <v>0</v>
      </c>
      <c r="K61" s="1"/>
      <c r="L61" s="1">
        <f t="shared" ref="L61:L64" si="50">+D61-H61</f>
        <v>36</v>
      </c>
      <c r="M61" s="1"/>
      <c r="N61" s="5">
        <f t="shared" ref="N61:N64" si="51">IF(H61=0,0,L61/H61)</f>
        <v>0</v>
      </c>
      <c r="O61" s="14"/>
      <c r="P61" s="1">
        <f>SUM(OSRRefP22_10x_0)</f>
        <v>72</v>
      </c>
      <c r="Q61" s="1"/>
      <c r="R61" s="5">
        <f t="shared" ref="R61:R64" si="52">IF(P$12=0,0,P61/P$12)</f>
        <v>0</v>
      </c>
      <c r="S61" s="1"/>
      <c r="T61" s="1">
        <f>SUM(OSRRefT22_10x_0)</f>
        <v>0</v>
      </c>
      <c r="U61" s="1"/>
      <c r="V61" s="5">
        <f t="shared" ref="V61:V64" si="53">IF(T$12=0,0,T61/T$12)</f>
        <v>0</v>
      </c>
      <c r="W61" s="1"/>
      <c r="X61" s="1">
        <f t="shared" ref="X61:X64" si="54">+P61-T61</f>
        <v>72</v>
      </c>
      <c r="Y61" s="1"/>
      <c r="Z61" s="5">
        <f t="shared" ref="Z61:Z64" si="55">IF(T61=0,0,X61/T61)</f>
        <v>0</v>
      </c>
    </row>
    <row r="62" spans="1:26" s="24" customFormat="1" hidden="1" outlineLevel="2" x14ac:dyDescent="0.25">
      <c r="A62" s="27"/>
      <c r="B62" s="11" t="str">
        <f>CONCATENATE("          ", "6309", " - ", "TELEPHONE")</f>
        <v xml:space="preserve">          6309 - TELEPHONE</v>
      </c>
      <c r="C62" s="11"/>
      <c r="D62" s="6">
        <v>36</v>
      </c>
      <c r="E62" s="2"/>
      <c r="F62" s="7">
        <f t="shared" si="48"/>
        <v>0</v>
      </c>
      <c r="G62" s="2"/>
      <c r="H62" s="6"/>
      <c r="I62" s="2"/>
      <c r="J62" s="7">
        <f t="shared" si="49"/>
        <v>0</v>
      </c>
      <c r="K62" s="2"/>
      <c r="L62" s="6">
        <f t="shared" si="50"/>
        <v>36</v>
      </c>
      <c r="M62" s="2"/>
      <c r="N62" s="7">
        <f t="shared" si="51"/>
        <v>0</v>
      </c>
      <c r="O62" s="11"/>
      <c r="P62" s="6">
        <v>72</v>
      </c>
      <c r="Q62" s="2"/>
      <c r="R62" s="7">
        <f t="shared" si="52"/>
        <v>0</v>
      </c>
      <c r="S62" s="2"/>
      <c r="T62" s="6"/>
      <c r="U62" s="2"/>
      <c r="V62" s="7">
        <f t="shared" si="53"/>
        <v>0</v>
      </c>
      <c r="W62" s="2"/>
      <c r="X62" s="6">
        <f t="shared" si="54"/>
        <v>72</v>
      </c>
      <c r="Y62" s="2"/>
      <c r="Z62" s="7">
        <f t="shared" si="55"/>
        <v>0</v>
      </c>
    </row>
    <row r="63" spans="1:26" s="29" customFormat="1" outlineLevel="1" collapsed="1" x14ac:dyDescent="0.25">
      <c r="A63" s="28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SUM(OSRRefD22_11x_0)</f>
        <v>0</v>
      </c>
      <c r="E63" s="1"/>
      <c r="F63" s="5">
        <f t="shared" si="48"/>
        <v>0</v>
      </c>
      <c r="G63" s="1"/>
      <c r="H63" s="1">
        <f>SUM(OSRRefH22_11x_0)</f>
        <v>0</v>
      </c>
      <c r="I63" s="1"/>
      <c r="J63" s="5">
        <f t="shared" si="49"/>
        <v>0</v>
      </c>
      <c r="K63" s="1"/>
      <c r="L63" s="1">
        <f t="shared" si="50"/>
        <v>0</v>
      </c>
      <c r="M63" s="1"/>
      <c r="N63" s="5">
        <f t="shared" si="51"/>
        <v>0</v>
      </c>
      <c r="O63" s="14"/>
      <c r="P63" s="1">
        <f>SUM(OSRRefP22_11x_0)</f>
        <v>0</v>
      </c>
      <c r="Q63" s="1"/>
      <c r="R63" s="5">
        <f t="shared" si="52"/>
        <v>0</v>
      </c>
      <c r="S63" s="1"/>
      <c r="T63" s="1">
        <f>SUM(OSRRefT22_11x_0)</f>
        <v>0</v>
      </c>
      <c r="U63" s="1"/>
      <c r="V63" s="5">
        <f t="shared" si="53"/>
        <v>0</v>
      </c>
      <c r="W63" s="1"/>
      <c r="X63" s="1">
        <f t="shared" si="54"/>
        <v>0</v>
      </c>
      <c r="Y63" s="1"/>
      <c r="Z63" s="5">
        <f t="shared" si="55"/>
        <v>0</v>
      </c>
    </row>
    <row r="64" spans="1:26" s="24" customFormat="1" hidden="1" outlineLevel="2" x14ac:dyDescent="0.25">
      <c r="A64" s="27"/>
      <c r="B64" s="11" t="str">
        <f>CONCATENATE("          ", "6274", " - ", "UTILITIES")</f>
        <v xml:space="preserve">          6274 - UTILITIES</v>
      </c>
      <c r="C64" s="11"/>
      <c r="D64" s="6"/>
      <c r="E64" s="2"/>
      <c r="F64" s="7">
        <f t="shared" si="48"/>
        <v>0</v>
      </c>
      <c r="G64" s="2"/>
      <c r="H64" s="6">
        <v>0</v>
      </c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1"/>
      <c r="P64" s="6"/>
      <c r="Q64" s="2"/>
      <c r="R64" s="7">
        <f t="shared" si="52"/>
        <v>0</v>
      </c>
      <c r="S64" s="2"/>
      <c r="T64" s="6">
        <v>0</v>
      </c>
      <c r="U64" s="2"/>
      <c r="V64" s="7">
        <f t="shared" si="53"/>
        <v>0</v>
      </c>
      <c r="W64" s="2"/>
      <c r="X64" s="6">
        <f t="shared" si="54"/>
        <v>0</v>
      </c>
      <c r="Y64" s="2"/>
      <c r="Z64" s="7">
        <f t="shared" si="55"/>
        <v>0</v>
      </c>
    </row>
    <row r="65" spans="1:26" s="61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2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2" customFormat="1" x14ac:dyDescent="0.25">
      <c r="A68" s="10"/>
      <c r="B68" s="26" t="s">
        <v>3</v>
      </c>
      <c r="C68" s="26"/>
      <c r="D68" s="21">
        <f>+D17-D19+D66</f>
        <v>-610.52</v>
      </c>
      <c r="E68" s="13"/>
      <c r="F68" s="20">
        <f>IF(D$12=0,0,D68/D$12)</f>
        <v>0</v>
      </c>
      <c r="G68" s="13"/>
      <c r="H68" s="21">
        <f>+H17-H19+H66</f>
        <v>-2017</v>
      </c>
      <c r="I68" s="13"/>
      <c r="J68" s="20">
        <f>IF(H$12=0,0,H68/H$12)</f>
        <v>0</v>
      </c>
      <c r="K68" s="16"/>
      <c r="L68" s="21">
        <f>+D68-H68</f>
        <v>1406.48</v>
      </c>
      <c r="M68" s="16"/>
      <c r="N68" s="20">
        <f>IF(H68=0,0,L68/H68)</f>
        <v>-0.69731284085275158</v>
      </c>
      <c r="O68" s="25"/>
      <c r="P68" s="21">
        <f>+P17-P19+P66</f>
        <v>-5626.72</v>
      </c>
      <c r="Q68" s="13"/>
      <c r="R68" s="20">
        <f>IF(P$12=0,0,P68/P$12)</f>
        <v>0</v>
      </c>
      <c r="S68" s="13"/>
      <c r="T68" s="21">
        <f>+T17-T19+T66</f>
        <v>-4034</v>
      </c>
      <c r="U68" s="13"/>
      <c r="V68" s="20">
        <f>IF(T$12=0,0,T68/T$12)</f>
        <v>0</v>
      </c>
      <c r="W68" s="16"/>
      <c r="X68" s="21">
        <f>+P68-T68</f>
        <v>-1592.7200000000003</v>
      </c>
      <c r="Y68" s="16"/>
      <c r="Z68" s="20">
        <f>IF(T68=0,0,X68/T68)</f>
        <v>0.39482399603371349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2" customFormat="1" x14ac:dyDescent="0.25">
      <c r="A70" s="52"/>
      <c r="B70" s="10" t="s">
        <v>14</v>
      </c>
      <c r="C70" s="10"/>
      <c r="D70" s="4"/>
      <c r="E70" s="4"/>
      <c r="F70" s="12">
        <f>IF(D$12=0,0,D70/D$12)</f>
        <v>0</v>
      </c>
      <c r="G70" s="4"/>
      <c r="H70" s="4"/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/>
      <c r="Q70" s="4"/>
      <c r="R70" s="12">
        <f>IF(P$12=0,0,P70/P$12)</f>
        <v>0</v>
      </c>
      <c r="S70" s="4"/>
      <c r="T70" s="4"/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2" customFormat="1" ht="15.75" thickBot="1" x14ac:dyDescent="0.3">
      <c r="A72" s="10"/>
      <c r="B72" s="26" t="s">
        <v>4</v>
      </c>
      <c r="C72" s="26"/>
      <c r="D72" s="33">
        <f>+D68-D70</f>
        <v>-610.52</v>
      </c>
      <c r="E72" s="13"/>
      <c r="F72" s="31">
        <f>IF(D$12=0,0,D72/D$12)</f>
        <v>0</v>
      </c>
      <c r="G72" s="13"/>
      <c r="H72" s="33">
        <f>+H68-H70</f>
        <v>-2017</v>
      </c>
      <c r="I72" s="13"/>
      <c r="J72" s="31">
        <f>IF(H$12=0,0,H72/H$12)</f>
        <v>0</v>
      </c>
      <c r="K72" s="16"/>
      <c r="L72" s="33">
        <f>D72-H72</f>
        <v>1406.48</v>
      </c>
      <c r="M72" s="16"/>
      <c r="N72" s="31">
        <f>IF(H72=0,0,L72/H72)</f>
        <v>-0.69731284085275158</v>
      </c>
      <c r="O72" s="25"/>
      <c r="P72" s="33">
        <f>+P68-P70</f>
        <v>-5626.72</v>
      </c>
      <c r="Q72" s="13"/>
      <c r="R72" s="31">
        <f>IF(P$12=0,0,P72/P$12)</f>
        <v>0</v>
      </c>
      <c r="S72" s="13"/>
      <c r="T72" s="33">
        <f>+T68-T70</f>
        <v>-4034</v>
      </c>
      <c r="U72" s="13"/>
      <c r="V72" s="31">
        <f>IF(T$12=0,0,T72/T$12)</f>
        <v>0</v>
      </c>
      <c r="W72" s="16"/>
      <c r="X72" s="33">
        <f>P72-T72</f>
        <v>-1592.7200000000003</v>
      </c>
      <c r="Y72" s="16"/>
      <c r="Z72" s="31">
        <f>IF(T72=0,0,X72/T72)</f>
        <v>0.39482399603371349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2" customFormat="1" ht="15.75" thickBot="1" x14ac:dyDescent="0.3">
      <c r="A75" s="10"/>
      <c r="B75" s="26" t="s">
        <v>5</v>
      </c>
      <c r="C75" s="26"/>
      <c r="D75" s="32">
        <f>SUM(D72:D74)</f>
        <v>-610.52</v>
      </c>
      <c r="E75" s="13"/>
      <c r="F75" s="35">
        <f>IF(D$12=0,0,D75/D$12)</f>
        <v>0</v>
      </c>
      <c r="G75" s="13"/>
      <c r="H75" s="32">
        <f>SUM(H72:H74)</f>
        <v>-2017</v>
      </c>
      <c r="I75" s="13"/>
      <c r="J75" s="35">
        <f>IF(H$12=0,0,H75/H$12)</f>
        <v>0</v>
      </c>
      <c r="K75" s="16"/>
      <c r="L75" s="32">
        <f>+D75-H75</f>
        <v>1406.48</v>
      </c>
      <c r="M75" s="16"/>
      <c r="N75" s="35">
        <f>IF(H75=0,0,L75/H75)</f>
        <v>-0.69731284085275158</v>
      </c>
      <c r="O75" s="25"/>
      <c r="P75" s="32">
        <f>SUM(P72:P74)</f>
        <v>-5626.72</v>
      </c>
      <c r="Q75" s="13"/>
      <c r="R75" s="35">
        <f>IF(P$12=0,0,P75/P$12)</f>
        <v>0</v>
      </c>
      <c r="S75" s="13"/>
      <c r="T75" s="32">
        <f>SUM(T72:T74)</f>
        <v>-4034</v>
      </c>
      <c r="U75" s="13"/>
      <c r="V75" s="35">
        <f>IF(T$12=0,0,T75/T$12)</f>
        <v>0</v>
      </c>
      <c r="W75" s="16"/>
      <c r="X75" s="32">
        <f>+P75-T75</f>
        <v>-1592.7200000000003</v>
      </c>
      <c r="Y75" s="16"/>
      <c r="Z75" s="35">
        <f>IF(T75=0,0,X75/T75)</f>
        <v>0.39482399603371349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9">
        <v>44113.689638113428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2" t="s">
        <v>314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3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","325", " - ", "Outpost C-Store")</f>
        <v>Department 325 - Outpost C-Store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collapsed="1" x14ac:dyDescent="0.25">
      <c r="A14" s="10"/>
      <c r="B14" s="25" t="s">
        <v>8</v>
      </c>
      <c r="C14" s="10"/>
      <c r="D14" s="4">
        <f>SUM(OSRRefD16x_0)</f>
        <v>-688.96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-688.96</v>
      </c>
      <c r="M14" s="4"/>
      <c r="N14" s="12">
        <f t="shared" ref="N14:N15" si="3">IF(H14=0,0,L14/H14)</f>
        <v>0</v>
      </c>
      <c r="O14" s="10"/>
      <c r="P14" s="4">
        <f>SUM(OSRRefP16x_0)</f>
        <v>-688.96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-688.96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51"/>
      <c r="B15" s="11" t="str">
        <f>CONCATENATE("          ", "5053", " - ", "PURCHASES @ COST-FOOD")</f>
        <v xml:space="preserve">          5053 - PURCHASES @ COST-FOOD</v>
      </c>
      <c r="C15" s="11"/>
      <c r="D15" s="2">
        <v>-688.96</v>
      </c>
      <c r="E15" s="2"/>
      <c r="F15" s="23">
        <f t="shared" si="0"/>
        <v>0</v>
      </c>
      <c r="G15" s="2"/>
      <c r="H15" s="2"/>
      <c r="I15" s="2"/>
      <c r="J15" s="23">
        <f t="shared" si="1"/>
        <v>0</v>
      </c>
      <c r="K15" s="2"/>
      <c r="L15" s="2">
        <f t="shared" si="2"/>
        <v>-688.96</v>
      </c>
      <c r="M15" s="2"/>
      <c r="N15" s="23">
        <f t="shared" si="3"/>
        <v>0</v>
      </c>
      <c r="O15" s="11"/>
      <c r="P15" s="2">
        <v>-688.96</v>
      </c>
      <c r="Q15" s="2"/>
      <c r="R15" s="23">
        <f t="shared" si="4"/>
        <v>0</v>
      </c>
      <c r="S15" s="2"/>
      <c r="T15" s="2"/>
      <c r="U15" s="2"/>
      <c r="V15" s="23">
        <f t="shared" si="5"/>
        <v>0</v>
      </c>
      <c r="W15" s="2"/>
      <c r="X15" s="2">
        <f t="shared" si="6"/>
        <v>-688.96</v>
      </c>
      <c r="Y15" s="2"/>
      <c r="Z15" s="23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D12-D14</f>
        <v>688.96</v>
      </c>
      <c r="E17" s="13"/>
      <c r="F17" s="20">
        <f>IF(D$12=0,0,D17/D$12)</f>
        <v>0</v>
      </c>
      <c r="G17" s="13"/>
      <c r="H17" s="21">
        <f>H12-H14</f>
        <v>0</v>
      </c>
      <c r="I17" s="13"/>
      <c r="J17" s="20">
        <f>IF(H$12=0,0,H17/H$12)</f>
        <v>0</v>
      </c>
      <c r="K17" s="16"/>
      <c r="L17" s="21">
        <f>+D17-H17</f>
        <v>688.96</v>
      </c>
      <c r="M17" s="16"/>
      <c r="N17" s="20">
        <f>IF(H17=0,0,L17/H17)</f>
        <v>0</v>
      </c>
      <c r="O17" s="25"/>
      <c r="P17" s="21">
        <f>P12-P14</f>
        <v>688.96</v>
      </c>
      <c r="Q17" s="13"/>
      <c r="R17" s="20">
        <f>IF(P$12=0,0,P17/P$12)</f>
        <v>0</v>
      </c>
      <c r="S17" s="13"/>
      <c r="T17" s="21">
        <f>T12-T14</f>
        <v>0</v>
      </c>
      <c r="U17" s="13"/>
      <c r="V17" s="20">
        <f>IF(T$12=0,0,T17/T$12)</f>
        <v>0</v>
      </c>
      <c r="W17" s="16"/>
      <c r="X17" s="21">
        <f>+P17-T17</f>
        <v>688.96</v>
      </c>
      <c r="Y17" s="16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9986.7300000000014</v>
      </c>
      <c r="E19" s="19"/>
      <c r="F19" s="30">
        <f t="shared" ref="F19:F28" si="8">IF(D$12=0,0,D19/D$12)</f>
        <v>0</v>
      </c>
      <c r="G19" s="19"/>
      <c r="H19" s="19">
        <f>SUM(OSRRefH22x_0)</f>
        <v>22675.020919999999</v>
      </c>
      <c r="I19" s="19"/>
      <c r="J19" s="30">
        <f t="shared" ref="J19:J28" si="9">IF(H$12=0,0,H19/H$12)</f>
        <v>0</v>
      </c>
      <c r="K19" s="4"/>
      <c r="L19" s="19">
        <f t="shared" ref="L19:L28" si="10">+D19-H19</f>
        <v>-12688.290919999998</v>
      </c>
      <c r="M19" s="4"/>
      <c r="N19" s="30">
        <f t="shared" ref="N19:N28" si="11">IF(H19=0,0,L19/H19)</f>
        <v>-0.55957129939441741</v>
      </c>
      <c r="O19" s="10"/>
      <c r="P19" s="19">
        <f>SUM(OSRRefP22x_0)</f>
        <v>24423.129999999997</v>
      </c>
      <c r="Q19" s="19"/>
      <c r="R19" s="30">
        <f t="shared" ref="R19:R28" si="12">IF(P$12=0,0,P19/P$12)</f>
        <v>0</v>
      </c>
      <c r="S19" s="19"/>
      <c r="T19" s="19">
        <f>SUM(OSRRefT22x_0)</f>
        <v>43837.896919999999</v>
      </c>
      <c r="U19" s="19"/>
      <c r="V19" s="30">
        <f t="shared" ref="V19:V28" si="13">IF(T$12=0,0,T19/T$12)</f>
        <v>0</v>
      </c>
      <c r="W19" s="4"/>
      <c r="X19" s="19">
        <f t="shared" ref="X19:X28" si="14">+P19-T19</f>
        <v>-19414.766920000002</v>
      </c>
      <c r="Y19" s="4"/>
      <c r="Z19" s="30">
        <f t="shared" ref="Z19:Z28" si="15">IF(T19=0,0,X19/T19)</f>
        <v>-0.4428763303912619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3346.07692</v>
      </c>
      <c r="I20" s="1"/>
      <c r="J20" s="5">
        <f t="shared" si="9"/>
        <v>0</v>
      </c>
      <c r="K20" s="1"/>
      <c r="L20" s="1">
        <f t="shared" si="10"/>
        <v>-3346.07692</v>
      </c>
      <c r="M20" s="1"/>
      <c r="N20" s="5">
        <f t="shared" si="11"/>
        <v>-1</v>
      </c>
      <c r="O20" s="14"/>
      <c r="P20" s="1">
        <f>SUM(OSRRefP22_0x_0)</f>
        <v>2889.72</v>
      </c>
      <c r="Q20" s="1"/>
      <c r="R20" s="5">
        <f t="shared" si="12"/>
        <v>0</v>
      </c>
      <c r="S20" s="1"/>
      <c r="T20" s="1">
        <f>SUM(OSRRefT22_0x_0)</f>
        <v>6800.9529200000006</v>
      </c>
      <c r="U20" s="1"/>
      <c r="V20" s="5">
        <f t="shared" si="13"/>
        <v>0</v>
      </c>
      <c r="W20" s="1"/>
      <c r="X20" s="1">
        <f t="shared" si="14"/>
        <v>-3911.2329200000008</v>
      </c>
      <c r="Y20" s="1"/>
      <c r="Z20" s="5">
        <f t="shared" si="15"/>
        <v>-0.57510071985618161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>
        <v>378.0582</v>
      </c>
      <c r="I21" s="2"/>
      <c r="J21" s="7">
        <f t="shared" si="9"/>
        <v>0</v>
      </c>
      <c r="K21" s="2"/>
      <c r="L21" s="6">
        <f t="shared" si="10"/>
        <v>-378.0582</v>
      </c>
      <c r="M21" s="2"/>
      <c r="N21" s="7">
        <f t="shared" si="11"/>
        <v>-1</v>
      </c>
      <c r="O21" s="11"/>
      <c r="P21" s="6">
        <v>159.12</v>
      </c>
      <c r="Q21" s="2"/>
      <c r="R21" s="7">
        <f t="shared" si="12"/>
        <v>0</v>
      </c>
      <c r="S21" s="2"/>
      <c r="T21" s="6">
        <v>776.01419999999996</v>
      </c>
      <c r="U21" s="2"/>
      <c r="V21" s="7">
        <f t="shared" si="13"/>
        <v>0</v>
      </c>
      <c r="W21" s="2"/>
      <c r="X21" s="6">
        <f t="shared" si="14"/>
        <v>-616.89419999999996</v>
      </c>
      <c r="Y21" s="2"/>
      <c r="Z21" s="7">
        <f t="shared" si="15"/>
        <v>-0.79495220577149228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/>
      <c r="E22" s="2"/>
      <c r="F22" s="7">
        <f t="shared" si="8"/>
        <v>0</v>
      </c>
      <c r="G22" s="2"/>
      <c r="H22" s="6">
        <v>122.7512</v>
      </c>
      <c r="I22" s="2"/>
      <c r="J22" s="7">
        <f t="shared" si="9"/>
        <v>0</v>
      </c>
      <c r="K22" s="2"/>
      <c r="L22" s="6">
        <f t="shared" si="10"/>
        <v>-122.7512</v>
      </c>
      <c r="M22" s="2"/>
      <c r="N22" s="7">
        <f t="shared" si="11"/>
        <v>-1</v>
      </c>
      <c r="O22" s="11"/>
      <c r="P22" s="6"/>
      <c r="Q22" s="2"/>
      <c r="R22" s="7">
        <f t="shared" si="12"/>
        <v>0</v>
      </c>
      <c r="S22" s="2"/>
      <c r="T22" s="6">
        <v>218.9512</v>
      </c>
      <c r="U22" s="2"/>
      <c r="V22" s="7">
        <f t="shared" si="13"/>
        <v>0</v>
      </c>
      <c r="W22" s="2"/>
      <c r="X22" s="6">
        <f t="shared" si="14"/>
        <v>-218.9512</v>
      </c>
      <c r="Y22" s="2"/>
      <c r="Z22" s="7">
        <f t="shared" si="15"/>
        <v>-1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>
        <v>1980</v>
      </c>
      <c r="I23" s="2"/>
      <c r="J23" s="7">
        <f t="shared" si="9"/>
        <v>0</v>
      </c>
      <c r="K23" s="2"/>
      <c r="L23" s="6">
        <f t="shared" si="10"/>
        <v>-1980</v>
      </c>
      <c r="M23" s="2"/>
      <c r="N23" s="7">
        <f t="shared" si="11"/>
        <v>-1</v>
      </c>
      <c r="O23" s="11"/>
      <c r="P23" s="6">
        <v>1915.63</v>
      </c>
      <c r="Q23" s="2"/>
      <c r="R23" s="7">
        <f t="shared" si="12"/>
        <v>0</v>
      </c>
      <c r="S23" s="2"/>
      <c r="T23" s="6">
        <v>3960</v>
      </c>
      <c r="U23" s="2"/>
      <c r="V23" s="7">
        <f t="shared" si="13"/>
        <v>0</v>
      </c>
      <c r="W23" s="2"/>
      <c r="X23" s="6">
        <f t="shared" si="14"/>
        <v>-2044.37</v>
      </c>
      <c r="Y23" s="2"/>
      <c r="Z23" s="7">
        <f t="shared" si="15"/>
        <v>-0.51625505050505049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/>
      <c r="E24" s="2"/>
      <c r="F24" s="7">
        <f t="shared" si="8"/>
        <v>0</v>
      </c>
      <c r="G24" s="2"/>
      <c r="H24" s="6">
        <v>17.251519999999999</v>
      </c>
      <c r="I24" s="2"/>
      <c r="J24" s="7">
        <f t="shared" si="9"/>
        <v>0</v>
      </c>
      <c r="K24" s="2"/>
      <c r="L24" s="6">
        <f t="shared" si="10"/>
        <v>-17.251519999999999</v>
      </c>
      <c r="M24" s="2"/>
      <c r="N24" s="7">
        <f t="shared" si="11"/>
        <v>-1</v>
      </c>
      <c r="O24" s="11"/>
      <c r="P24" s="6"/>
      <c r="Q24" s="2"/>
      <c r="R24" s="7">
        <f t="shared" si="12"/>
        <v>0</v>
      </c>
      <c r="S24" s="2"/>
      <c r="T24" s="6">
        <v>30.771519999999999</v>
      </c>
      <c r="U24" s="2"/>
      <c r="V24" s="7">
        <f t="shared" si="13"/>
        <v>0</v>
      </c>
      <c r="W24" s="2"/>
      <c r="X24" s="6">
        <f t="shared" si="14"/>
        <v>-30.771519999999999</v>
      </c>
      <c r="Y24" s="2"/>
      <c r="Z24" s="7">
        <f t="shared" si="15"/>
        <v>-1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/>
      <c r="E25" s="2"/>
      <c r="F25" s="7">
        <f t="shared" si="8"/>
        <v>0</v>
      </c>
      <c r="G25" s="2"/>
      <c r="H25" s="6">
        <v>357.76</v>
      </c>
      <c r="I25" s="2"/>
      <c r="J25" s="7">
        <f t="shared" si="9"/>
        <v>0</v>
      </c>
      <c r="K25" s="2"/>
      <c r="L25" s="6">
        <f t="shared" si="10"/>
        <v>-357.76</v>
      </c>
      <c r="M25" s="2"/>
      <c r="N25" s="7">
        <f t="shared" si="11"/>
        <v>-1</v>
      </c>
      <c r="O25" s="11"/>
      <c r="P25" s="6">
        <v>458.89</v>
      </c>
      <c r="Q25" s="2"/>
      <c r="R25" s="7">
        <f t="shared" si="12"/>
        <v>0</v>
      </c>
      <c r="S25" s="2"/>
      <c r="T25" s="6">
        <v>804.96</v>
      </c>
      <c r="U25" s="2"/>
      <c r="V25" s="7">
        <f t="shared" si="13"/>
        <v>0</v>
      </c>
      <c r="W25" s="2"/>
      <c r="X25" s="6">
        <f t="shared" si="14"/>
        <v>-346.07000000000005</v>
      </c>
      <c r="Y25" s="2"/>
      <c r="Z25" s="7">
        <f t="shared" si="15"/>
        <v>-0.4299219837010535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/>
      <c r="E27" s="2"/>
      <c r="F27" s="7">
        <f t="shared" si="8"/>
        <v>0</v>
      </c>
      <c r="G27" s="2"/>
      <c r="H27" s="6">
        <v>208</v>
      </c>
      <c r="I27" s="2"/>
      <c r="J27" s="7">
        <f t="shared" si="9"/>
        <v>0</v>
      </c>
      <c r="K27" s="2"/>
      <c r="L27" s="6">
        <f t="shared" si="10"/>
        <v>-208</v>
      </c>
      <c r="M27" s="2"/>
      <c r="N27" s="7">
        <f t="shared" si="11"/>
        <v>-1</v>
      </c>
      <c r="O27" s="11"/>
      <c r="P27" s="6">
        <v>152.1</v>
      </c>
      <c r="Q27" s="2"/>
      <c r="R27" s="7">
        <f t="shared" si="12"/>
        <v>0</v>
      </c>
      <c r="S27" s="2"/>
      <c r="T27" s="6">
        <v>468</v>
      </c>
      <c r="U27" s="2"/>
      <c r="V27" s="7">
        <f t="shared" si="13"/>
        <v>0</v>
      </c>
      <c r="W27" s="2"/>
      <c r="X27" s="6">
        <f t="shared" si="14"/>
        <v>-315.89999999999998</v>
      </c>
      <c r="Y27" s="2"/>
      <c r="Z27" s="7">
        <f t="shared" si="15"/>
        <v>-0.67499999999999993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/>
      <c r="E28" s="2"/>
      <c r="F28" s="7">
        <f t="shared" si="8"/>
        <v>0</v>
      </c>
      <c r="G28" s="2"/>
      <c r="H28" s="6">
        <v>282.25599999999997</v>
      </c>
      <c r="I28" s="2"/>
      <c r="J28" s="7">
        <f t="shared" si="9"/>
        <v>0</v>
      </c>
      <c r="K28" s="2"/>
      <c r="L28" s="6">
        <f t="shared" si="10"/>
        <v>-282.25599999999997</v>
      </c>
      <c r="M28" s="2"/>
      <c r="N28" s="7">
        <f t="shared" si="11"/>
        <v>-1</v>
      </c>
      <c r="O28" s="11"/>
      <c r="P28" s="6">
        <v>203.98</v>
      </c>
      <c r="Q28" s="2"/>
      <c r="R28" s="7">
        <f t="shared" si="12"/>
        <v>0</v>
      </c>
      <c r="S28" s="2"/>
      <c r="T28" s="6">
        <v>542.25599999999997</v>
      </c>
      <c r="U28" s="2"/>
      <c r="V28" s="7">
        <f t="shared" si="13"/>
        <v>0</v>
      </c>
      <c r="W28" s="2"/>
      <c r="X28" s="6">
        <f t="shared" si="14"/>
        <v>-338.27599999999995</v>
      </c>
      <c r="Y28" s="2"/>
      <c r="Z28" s="7">
        <f t="shared" si="15"/>
        <v>-0.62383081053967127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9" si="16">IF(D$12=0,0,D29/D$12)</f>
        <v>0</v>
      </c>
      <c r="G29" s="1"/>
      <c r="H29" s="1">
        <f>SUM(OSRRefH22_1x_0)</f>
        <v>6144.9440000000004</v>
      </c>
      <c r="I29" s="1"/>
      <c r="J29" s="5">
        <f t="shared" ref="J29:J39" si="17">IF(H$12=0,0,H29/H$12)</f>
        <v>0</v>
      </c>
      <c r="K29" s="1"/>
      <c r="L29" s="1">
        <f t="shared" ref="L29:L39" si="18">+D29-H29</f>
        <v>-6144.9440000000004</v>
      </c>
      <c r="M29" s="1"/>
      <c r="N29" s="5">
        <f t="shared" ref="N29:N39" si="19">IF(H29=0,0,L29/H29)</f>
        <v>-1</v>
      </c>
      <c r="O29" s="14"/>
      <c r="P29" s="1">
        <f>SUM(OSRRefP22_1x_0)</f>
        <v>884</v>
      </c>
      <c r="Q29" s="1"/>
      <c r="R29" s="5">
        <f t="shared" ref="R29:R39" si="20">IF(P$12=0,0,P29/P$12)</f>
        <v>0</v>
      </c>
      <c r="S29" s="1"/>
      <c r="T29" s="1">
        <f>SUM(OSRRefT22_1x_0)</f>
        <v>10824.944</v>
      </c>
      <c r="U29" s="1"/>
      <c r="V29" s="5">
        <f t="shared" ref="V29:V39" si="21">IF(T$12=0,0,T29/T$12)</f>
        <v>0</v>
      </c>
      <c r="W29" s="1"/>
      <c r="X29" s="1">
        <f t="shared" ref="X29:X39" si="22">+P29-T29</f>
        <v>-9940.9439999999995</v>
      </c>
      <c r="Y29" s="1"/>
      <c r="Z29" s="5">
        <f t="shared" ref="Z29:Z39" si="23">IF(T29=0,0,X29/T29)</f>
        <v>-0.91833675998693387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16"/>
        <v>0</v>
      </c>
      <c r="G30" s="2"/>
      <c r="H30" s="6">
        <v>0</v>
      </c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/>
      <c r="Q30" s="2"/>
      <c r="R30" s="7">
        <f t="shared" si="20"/>
        <v>0</v>
      </c>
      <c r="S30" s="2"/>
      <c r="T30" s="6">
        <v>0</v>
      </c>
      <c r="U30" s="2"/>
      <c r="V30" s="7">
        <f t="shared" si="21"/>
        <v>0</v>
      </c>
      <c r="W30" s="2"/>
      <c r="X30" s="6">
        <f t="shared" si="22"/>
        <v>0</v>
      </c>
      <c r="Y30" s="2"/>
      <c r="Z30" s="7">
        <f t="shared" si="23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16"/>
        <v>0</v>
      </c>
      <c r="G31" s="2"/>
      <c r="H31" s="6">
        <v>3744</v>
      </c>
      <c r="I31" s="2"/>
      <c r="J31" s="7">
        <f t="shared" si="17"/>
        <v>0</v>
      </c>
      <c r="K31" s="2"/>
      <c r="L31" s="6">
        <f t="shared" si="18"/>
        <v>-3744</v>
      </c>
      <c r="M31" s="2"/>
      <c r="N31" s="7">
        <f t="shared" si="19"/>
        <v>-1</v>
      </c>
      <c r="O31" s="11"/>
      <c r="P31" s="6">
        <v>884</v>
      </c>
      <c r="Q31" s="2"/>
      <c r="R31" s="7">
        <f t="shared" si="20"/>
        <v>0</v>
      </c>
      <c r="S31" s="2"/>
      <c r="T31" s="6">
        <v>8424</v>
      </c>
      <c r="U31" s="2"/>
      <c r="V31" s="7">
        <f t="shared" si="21"/>
        <v>0</v>
      </c>
      <c r="W31" s="2"/>
      <c r="X31" s="6">
        <f t="shared" si="22"/>
        <v>-7540</v>
      </c>
      <c r="Y31" s="2"/>
      <c r="Z31" s="7">
        <f t="shared" si="23"/>
        <v>-0.89506172839506171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16"/>
        <v>0</v>
      </c>
      <c r="G34" s="2"/>
      <c r="H34" s="6">
        <v>862.524</v>
      </c>
      <c r="I34" s="2"/>
      <c r="J34" s="7">
        <f t="shared" si="17"/>
        <v>0</v>
      </c>
      <c r="K34" s="2"/>
      <c r="L34" s="6">
        <f t="shared" si="18"/>
        <v>-862.524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862.524</v>
      </c>
      <c r="U34" s="2"/>
      <c r="V34" s="7">
        <f t="shared" si="21"/>
        <v>0</v>
      </c>
      <c r="W34" s="2"/>
      <c r="X34" s="6">
        <f t="shared" si="22"/>
        <v>-862.524</v>
      </c>
      <c r="Y34" s="2"/>
      <c r="Z34" s="7">
        <f t="shared" si="23"/>
        <v>-1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16"/>
        <v>0</v>
      </c>
      <c r="G36" s="2"/>
      <c r="H36" s="6">
        <v>756.6</v>
      </c>
      <c r="I36" s="2"/>
      <c r="J36" s="7">
        <f t="shared" si="17"/>
        <v>0</v>
      </c>
      <c r="K36" s="2"/>
      <c r="L36" s="6">
        <f t="shared" si="18"/>
        <v>-756.6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756.6</v>
      </c>
      <c r="U36" s="2"/>
      <c r="V36" s="7">
        <f t="shared" si="21"/>
        <v>0</v>
      </c>
      <c r="W36" s="2"/>
      <c r="X36" s="6">
        <f t="shared" si="22"/>
        <v>-756.6</v>
      </c>
      <c r="Y36" s="2"/>
      <c r="Z36" s="7">
        <f t="shared" si="23"/>
        <v>-1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16"/>
        <v>0</v>
      </c>
      <c r="G37" s="2"/>
      <c r="H37" s="6">
        <v>781.82</v>
      </c>
      <c r="I37" s="2"/>
      <c r="J37" s="7">
        <f t="shared" si="17"/>
        <v>0</v>
      </c>
      <c r="K37" s="2"/>
      <c r="L37" s="6">
        <f t="shared" si="18"/>
        <v>-781.82</v>
      </c>
      <c r="M37" s="2"/>
      <c r="N37" s="7">
        <f t="shared" si="19"/>
        <v>-1</v>
      </c>
      <c r="O37" s="11"/>
      <c r="P37" s="6"/>
      <c r="Q37" s="2"/>
      <c r="R37" s="7">
        <f t="shared" si="20"/>
        <v>0</v>
      </c>
      <c r="S37" s="2"/>
      <c r="T37" s="6">
        <v>781.82</v>
      </c>
      <c r="U37" s="2"/>
      <c r="V37" s="7">
        <f t="shared" si="21"/>
        <v>0</v>
      </c>
      <c r="W37" s="2"/>
      <c r="X37" s="6">
        <f t="shared" si="22"/>
        <v>-781.82</v>
      </c>
      <c r="Y37" s="2"/>
      <c r="Z37" s="7">
        <f t="shared" si="23"/>
        <v>-1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8" si="24">IF(D$12=0,0,D40/D$12)</f>
        <v>0</v>
      </c>
      <c r="G40" s="1"/>
      <c r="H40" s="1">
        <f>SUM(OSRRefH22_2x_0)</f>
        <v>80</v>
      </c>
      <c r="I40" s="1"/>
      <c r="J40" s="5">
        <f t="shared" ref="J40:J48" si="25">IF(H$12=0,0,H40/H$12)</f>
        <v>0</v>
      </c>
      <c r="K40" s="1"/>
      <c r="L40" s="1">
        <f t="shared" ref="L40:L48" si="26">+D40-H40</f>
        <v>-80</v>
      </c>
      <c r="M40" s="1"/>
      <c r="N40" s="5">
        <f t="shared" ref="N40:N48" si="27">IF(H40=0,0,L40/H40)</f>
        <v>-1</v>
      </c>
      <c r="O40" s="14"/>
      <c r="P40" s="1">
        <f>SUM(OSRRefP22_2x_0)</f>
        <v>0</v>
      </c>
      <c r="Q40" s="1"/>
      <c r="R40" s="5">
        <f t="shared" ref="R40:R48" si="28">IF(P$12=0,0,P40/P$12)</f>
        <v>0</v>
      </c>
      <c r="S40" s="1"/>
      <c r="T40" s="1">
        <f>SUM(OSRRefT22_2x_0)</f>
        <v>80</v>
      </c>
      <c r="U40" s="1"/>
      <c r="V40" s="5">
        <f t="shared" ref="V40:V48" si="29">IF(T$12=0,0,T40/T$12)</f>
        <v>0</v>
      </c>
      <c r="W40" s="1"/>
      <c r="X40" s="1">
        <f t="shared" ref="X40:X48" si="30">+P40-T40</f>
        <v>-80</v>
      </c>
      <c r="Y40" s="1"/>
      <c r="Z40" s="5">
        <f t="shared" ref="Z40:Z48" si="31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4"/>
        <v>0</v>
      </c>
      <c r="G41" s="2"/>
      <c r="H41" s="6">
        <v>80</v>
      </c>
      <c r="I41" s="2"/>
      <c r="J41" s="7">
        <f t="shared" si="25"/>
        <v>0</v>
      </c>
      <c r="K41" s="2"/>
      <c r="L41" s="6">
        <f t="shared" si="26"/>
        <v>-80</v>
      </c>
      <c r="M41" s="2"/>
      <c r="N41" s="7">
        <f t="shared" si="27"/>
        <v>-1</v>
      </c>
      <c r="O41" s="11"/>
      <c r="P41" s="6"/>
      <c r="Q41" s="2"/>
      <c r="R41" s="7">
        <f t="shared" si="28"/>
        <v>0</v>
      </c>
      <c r="S41" s="2"/>
      <c r="T41" s="6">
        <v>80</v>
      </c>
      <c r="U41" s="2"/>
      <c r="V41" s="7">
        <f t="shared" si="29"/>
        <v>0</v>
      </c>
      <c r="W41" s="2"/>
      <c r="X41" s="6">
        <f t="shared" si="30"/>
        <v>-80</v>
      </c>
      <c r="Y41" s="2"/>
      <c r="Z41" s="7">
        <f t="shared" si="31"/>
        <v>-1</v>
      </c>
    </row>
    <row r="42" spans="1:26" s="29" customFormat="1" outlineLevel="1" collapsed="1" x14ac:dyDescent="0.25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4"/>
        <v>0</v>
      </c>
      <c r="G42" s="1"/>
      <c r="H42" s="1">
        <f>SUM(OSRRefH22_3x_0)</f>
        <v>10</v>
      </c>
      <c r="I42" s="1"/>
      <c r="J42" s="5">
        <f t="shared" si="25"/>
        <v>0</v>
      </c>
      <c r="K42" s="1"/>
      <c r="L42" s="1">
        <f t="shared" si="26"/>
        <v>-10</v>
      </c>
      <c r="M42" s="1"/>
      <c r="N42" s="5">
        <f t="shared" si="27"/>
        <v>-1</v>
      </c>
      <c r="O42" s="14"/>
      <c r="P42" s="1">
        <f>SUM(OSRRefP22_3x_0)</f>
        <v>0</v>
      </c>
      <c r="Q42" s="1"/>
      <c r="R42" s="5">
        <f t="shared" si="28"/>
        <v>0</v>
      </c>
      <c r="S42" s="1"/>
      <c r="T42" s="1">
        <f>SUM(OSRRefT22_3x_0)</f>
        <v>15</v>
      </c>
      <c r="U42" s="1"/>
      <c r="V42" s="5">
        <f t="shared" si="29"/>
        <v>0</v>
      </c>
      <c r="W42" s="1"/>
      <c r="X42" s="1">
        <f t="shared" si="30"/>
        <v>-15</v>
      </c>
      <c r="Y42" s="1"/>
      <c r="Z42" s="5">
        <f t="shared" si="31"/>
        <v>-1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4"/>
        <v>0</v>
      </c>
      <c r="G43" s="2"/>
      <c r="H43" s="6">
        <v>10</v>
      </c>
      <c r="I43" s="2"/>
      <c r="J43" s="7">
        <f t="shared" si="25"/>
        <v>0</v>
      </c>
      <c r="K43" s="2"/>
      <c r="L43" s="6">
        <f t="shared" si="26"/>
        <v>-10</v>
      </c>
      <c r="M43" s="2"/>
      <c r="N43" s="7">
        <f t="shared" si="27"/>
        <v>-1</v>
      </c>
      <c r="O43" s="11"/>
      <c r="P43" s="6"/>
      <c r="Q43" s="2"/>
      <c r="R43" s="7">
        <f t="shared" si="28"/>
        <v>0</v>
      </c>
      <c r="S43" s="2"/>
      <c r="T43" s="6">
        <v>15</v>
      </c>
      <c r="U43" s="2"/>
      <c r="V43" s="7">
        <f t="shared" si="29"/>
        <v>0</v>
      </c>
      <c r="W43" s="2"/>
      <c r="X43" s="6">
        <f t="shared" si="30"/>
        <v>-15</v>
      </c>
      <c r="Y43" s="2"/>
      <c r="Z43" s="7">
        <f t="shared" si="31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0</v>
      </c>
      <c r="E44" s="1"/>
      <c r="F44" s="5">
        <f t="shared" si="24"/>
        <v>0</v>
      </c>
      <c r="G44" s="1"/>
      <c r="H44" s="1">
        <f>SUM(OSRRefH22_4x_0)</f>
        <v>1079</v>
      </c>
      <c r="I44" s="1"/>
      <c r="J44" s="5">
        <f t="shared" si="25"/>
        <v>0</v>
      </c>
      <c r="K44" s="1"/>
      <c r="L44" s="1">
        <f t="shared" si="26"/>
        <v>-1079</v>
      </c>
      <c r="M44" s="1"/>
      <c r="N44" s="5">
        <f t="shared" si="27"/>
        <v>-1</v>
      </c>
      <c r="O44" s="14"/>
      <c r="P44" s="1">
        <f>SUM(OSRRefP22_4x_0)</f>
        <v>0</v>
      </c>
      <c r="Q44" s="1"/>
      <c r="R44" s="5">
        <f t="shared" si="28"/>
        <v>0</v>
      </c>
      <c r="S44" s="1"/>
      <c r="T44" s="1">
        <f>SUM(OSRRefT22_4x_0)</f>
        <v>1483</v>
      </c>
      <c r="U44" s="1"/>
      <c r="V44" s="5">
        <f t="shared" si="29"/>
        <v>0</v>
      </c>
      <c r="W44" s="1"/>
      <c r="X44" s="1">
        <f t="shared" si="30"/>
        <v>-1483</v>
      </c>
      <c r="Y44" s="1"/>
      <c r="Z44" s="5">
        <f t="shared" si="31"/>
        <v>-1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4"/>
        <v>0</v>
      </c>
      <c r="G45" s="2"/>
      <c r="H45" s="6">
        <v>1079</v>
      </c>
      <c r="I45" s="2"/>
      <c r="J45" s="7">
        <f t="shared" si="25"/>
        <v>0</v>
      </c>
      <c r="K45" s="2"/>
      <c r="L45" s="6">
        <f t="shared" si="26"/>
        <v>-1079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1483</v>
      </c>
      <c r="U45" s="2"/>
      <c r="V45" s="7">
        <f t="shared" si="29"/>
        <v>0</v>
      </c>
      <c r="W45" s="2"/>
      <c r="X45" s="6">
        <f t="shared" si="30"/>
        <v>-1483</v>
      </c>
      <c r="Y45" s="2"/>
      <c r="Z45" s="7">
        <f t="shared" si="31"/>
        <v>-1</v>
      </c>
    </row>
    <row r="46" spans="1:26" s="29" customFormat="1" outlineLevel="1" collapsed="1" x14ac:dyDescent="0.25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5582.59</v>
      </c>
      <c r="E46" s="1"/>
      <c r="F46" s="5">
        <f t="shared" si="24"/>
        <v>0</v>
      </c>
      <c r="G46" s="1"/>
      <c r="H46" s="1">
        <f>SUM(OSRRefH22_5x_0)</f>
        <v>5583</v>
      </c>
      <c r="I46" s="1"/>
      <c r="J46" s="5">
        <f t="shared" si="25"/>
        <v>0</v>
      </c>
      <c r="K46" s="1"/>
      <c r="L46" s="1">
        <f t="shared" si="26"/>
        <v>-0.40999999999985448</v>
      </c>
      <c r="M46" s="1"/>
      <c r="N46" s="5">
        <f t="shared" si="27"/>
        <v>-7.3437220132519155E-5</v>
      </c>
      <c r="O46" s="14"/>
      <c r="P46" s="1">
        <f>SUM(OSRRefP22_5x_0)</f>
        <v>11165.18</v>
      </c>
      <c r="Q46" s="1"/>
      <c r="R46" s="5">
        <f t="shared" si="28"/>
        <v>0</v>
      </c>
      <c r="S46" s="1"/>
      <c r="T46" s="1">
        <f>SUM(OSRRefT22_5x_0)</f>
        <v>11166</v>
      </c>
      <c r="U46" s="1"/>
      <c r="V46" s="5">
        <f t="shared" si="29"/>
        <v>0</v>
      </c>
      <c r="W46" s="1"/>
      <c r="X46" s="1">
        <f t="shared" si="30"/>
        <v>-0.81999999999970896</v>
      </c>
      <c r="Y46" s="1"/>
      <c r="Z46" s="5">
        <f t="shared" si="31"/>
        <v>-7.3437220132519155E-5</v>
      </c>
    </row>
    <row r="47" spans="1:26" s="24" customFormat="1" hidden="1" outlineLevel="2" x14ac:dyDescent="0.25">
      <c r="A47" s="27"/>
      <c r="B47" s="11" t="str">
        <f>CONCATENATE("          ", "6321", " - ", "BUILDING DEPRECIATION")</f>
        <v xml:space="preserve">          6321 - BUILDING DEPRECIATION</v>
      </c>
      <c r="C47" s="11"/>
      <c r="D47" s="6">
        <v>5080.51</v>
      </c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5080.51</v>
      </c>
      <c r="M47" s="2"/>
      <c r="N47" s="7">
        <f t="shared" si="27"/>
        <v>0</v>
      </c>
      <c r="O47" s="11"/>
      <c r="P47" s="6">
        <v>10161.02</v>
      </c>
      <c r="Q47" s="2"/>
      <c r="R47" s="7">
        <f t="shared" si="28"/>
        <v>0</v>
      </c>
      <c r="S47" s="2"/>
      <c r="T47" s="6"/>
      <c r="U47" s="2"/>
      <c r="V47" s="7">
        <f t="shared" si="29"/>
        <v>0</v>
      </c>
      <c r="W47" s="2"/>
      <c r="X47" s="6">
        <f t="shared" si="30"/>
        <v>10161.02</v>
      </c>
      <c r="Y47" s="2"/>
      <c r="Z47" s="7">
        <f t="shared" si="31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502.08</v>
      </c>
      <c r="E48" s="2"/>
      <c r="F48" s="7">
        <f t="shared" si="24"/>
        <v>0</v>
      </c>
      <c r="G48" s="2"/>
      <c r="H48" s="6">
        <v>5583</v>
      </c>
      <c r="I48" s="2"/>
      <c r="J48" s="7">
        <f t="shared" si="25"/>
        <v>0</v>
      </c>
      <c r="K48" s="2"/>
      <c r="L48" s="6">
        <f t="shared" si="26"/>
        <v>-5080.92</v>
      </c>
      <c r="M48" s="2"/>
      <c r="N48" s="7">
        <f t="shared" si="27"/>
        <v>-0.91006985491671144</v>
      </c>
      <c r="O48" s="11"/>
      <c r="P48" s="6">
        <v>1004.16</v>
      </c>
      <c r="Q48" s="2"/>
      <c r="R48" s="7">
        <f t="shared" si="28"/>
        <v>0</v>
      </c>
      <c r="S48" s="2"/>
      <c r="T48" s="6">
        <v>11166</v>
      </c>
      <c r="U48" s="2"/>
      <c r="V48" s="7">
        <f t="shared" si="29"/>
        <v>0</v>
      </c>
      <c r="W48" s="2"/>
      <c r="X48" s="6">
        <f t="shared" si="30"/>
        <v>-10161.84</v>
      </c>
      <c r="Y48" s="2"/>
      <c r="Z48" s="7">
        <f t="shared" si="31"/>
        <v>-0.91006985491671144</v>
      </c>
    </row>
    <row r="49" spans="1:26" s="29" customFormat="1" outlineLevel="1" collapsed="1" x14ac:dyDescent="0.25">
      <c r="A49" s="28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0</v>
      </c>
      <c r="E49" s="1"/>
      <c r="F49" s="5">
        <f t="shared" ref="F49:F57" si="32">IF(D$12=0,0,D49/D$12)</f>
        <v>0</v>
      </c>
      <c r="G49" s="1"/>
      <c r="H49" s="1">
        <f>SUM(OSRRefH22_6x_0)</f>
        <v>0</v>
      </c>
      <c r="I49" s="1"/>
      <c r="J49" s="5">
        <f t="shared" ref="J49:J57" si="33">IF(H$12=0,0,H49/H$12)</f>
        <v>0</v>
      </c>
      <c r="K49" s="1"/>
      <c r="L49" s="1">
        <f t="shared" ref="L49:L57" si="34">+D49-H49</f>
        <v>0</v>
      </c>
      <c r="M49" s="1"/>
      <c r="N49" s="5">
        <f t="shared" ref="N49:N57" si="35">IF(H49=0,0,L49/H49)</f>
        <v>0</v>
      </c>
      <c r="O49" s="14"/>
      <c r="P49" s="1">
        <f>SUM(OSRRefP22_6x_0)</f>
        <v>754.55</v>
      </c>
      <c r="Q49" s="1"/>
      <c r="R49" s="5">
        <f t="shared" ref="R49:R57" si="36">IF(P$12=0,0,P49/P$12)</f>
        <v>0</v>
      </c>
      <c r="S49" s="1"/>
      <c r="T49" s="1">
        <f>SUM(OSRRefT22_6x_0)</f>
        <v>800</v>
      </c>
      <c r="U49" s="1"/>
      <c r="V49" s="5">
        <f t="shared" ref="V49:V57" si="37">IF(T$12=0,0,T49/T$12)</f>
        <v>0</v>
      </c>
      <c r="W49" s="1"/>
      <c r="X49" s="1">
        <f t="shared" ref="X49:X57" si="38">+P49-T49</f>
        <v>-45.450000000000045</v>
      </c>
      <c r="Y49" s="1"/>
      <c r="Z49" s="5">
        <f t="shared" ref="Z49:Z57" si="39">IF(T49=0,0,X49/T49)</f>
        <v>-5.6812500000000057E-2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32"/>
        <v>0</v>
      </c>
      <c r="G50" s="2"/>
      <c r="H50" s="6"/>
      <c r="I50" s="2"/>
      <c r="J50" s="7">
        <f t="shared" si="33"/>
        <v>0</v>
      </c>
      <c r="K50" s="2"/>
      <c r="L50" s="6">
        <f t="shared" si="34"/>
        <v>0</v>
      </c>
      <c r="M50" s="2"/>
      <c r="N50" s="7">
        <f t="shared" si="35"/>
        <v>0</v>
      </c>
      <c r="O50" s="11"/>
      <c r="P50" s="6">
        <v>754.55</v>
      </c>
      <c r="Q50" s="2"/>
      <c r="R50" s="7">
        <f t="shared" si="36"/>
        <v>0</v>
      </c>
      <c r="S50" s="2"/>
      <c r="T50" s="6">
        <v>800</v>
      </c>
      <c r="U50" s="2"/>
      <c r="V50" s="7">
        <f t="shared" si="37"/>
        <v>0</v>
      </c>
      <c r="W50" s="2"/>
      <c r="X50" s="6">
        <f t="shared" si="38"/>
        <v>-45.450000000000045</v>
      </c>
      <c r="Y50" s="2"/>
      <c r="Z50" s="7">
        <f t="shared" si="39"/>
        <v>-5.6812500000000057E-2</v>
      </c>
    </row>
    <row r="51" spans="1:26" s="29" customFormat="1" outlineLevel="1" collapsed="1" x14ac:dyDescent="0.25">
      <c r="A51" s="28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243.54</v>
      </c>
      <c r="E51" s="1"/>
      <c r="F51" s="5">
        <f t="shared" si="32"/>
        <v>0</v>
      </c>
      <c r="G51" s="1"/>
      <c r="H51" s="1">
        <f>SUM(OSRRefH22_7x_0)</f>
        <v>270</v>
      </c>
      <c r="I51" s="1"/>
      <c r="J51" s="5">
        <f t="shared" si="33"/>
        <v>0</v>
      </c>
      <c r="K51" s="1"/>
      <c r="L51" s="1">
        <f t="shared" si="34"/>
        <v>-26.460000000000008</v>
      </c>
      <c r="M51" s="1"/>
      <c r="N51" s="5">
        <f t="shared" si="35"/>
        <v>-9.8000000000000032E-2</v>
      </c>
      <c r="O51" s="14"/>
      <c r="P51" s="1">
        <f>SUM(OSRRefP22_7x_0)</f>
        <v>487.08</v>
      </c>
      <c r="Q51" s="1"/>
      <c r="R51" s="5">
        <f t="shared" si="36"/>
        <v>0</v>
      </c>
      <c r="S51" s="1"/>
      <c r="T51" s="1">
        <f>SUM(OSRRefT22_7x_0)</f>
        <v>540</v>
      </c>
      <c r="U51" s="1"/>
      <c r="V51" s="5">
        <f t="shared" si="37"/>
        <v>0</v>
      </c>
      <c r="W51" s="1"/>
      <c r="X51" s="1">
        <f t="shared" si="38"/>
        <v>-52.920000000000016</v>
      </c>
      <c r="Y51" s="1"/>
      <c r="Z51" s="5">
        <f t="shared" si="39"/>
        <v>-9.8000000000000032E-2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243.54</v>
      </c>
      <c r="E52" s="2"/>
      <c r="F52" s="7">
        <f t="shared" si="32"/>
        <v>0</v>
      </c>
      <c r="G52" s="2"/>
      <c r="H52" s="6">
        <v>270</v>
      </c>
      <c r="I52" s="2"/>
      <c r="J52" s="7">
        <f t="shared" si="33"/>
        <v>0</v>
      </c>
      <c r="K52" s="2"/>
      <c r="L52" s="6">
        <f t="shared" si="34"/>
        <v>-26.460000000000008</v>
      </c>
      <c r="M52" s="2"/>
      <c r="N52" s="7">
        <f t="shared" si="35"/>
        <v>-9.8000000000000032E-2</v>
      </c>
      <c r="O52" s="11"/>
      <c r="P52" s="6">
        <v>487.08</v>
      </c>
      <c r="Q52" s="2"/>
      <c r="R52" s="7">
        <f t="shared" si="36"/>
        <v>0</v>
      </c>
      <c r="S52" s="2"/>
      <c r="T52" s="6">
        <v>540</v>
      </c>
      <c r="U52" s="2"/>
      <c r="V52" s="7">
        <f t="shared" si="37"/>
        <v>0</v>
      </c>
      <c r="W52" s="2"/>
      <c r="X52" s="6">
        <f t="shared" si="38"/>
        <v>-52.920000000000016</v>
      </c>
      <c r="Y52" s="2"/>
      <c r="Z52" s="7">
        <f t="shared" si="39"/>
        <v>-9.8000000000000032E-2</v>
      </c>
    </row>
    <row r="53" spans="1:26" s="29" customFormat="1" outlineLevel="1" collapsed="1" x14ac:dyDescent="0.25">
      <c r="A53" s="28"/>
      <c r="B53" s="14" t="str">
        <f>CONCATENATE("     ","Interest                                          ")</f>
        <v xml:space="preserve">     Interest                                          </v>
      </c>
      <c r="C53" s="14"/>
      <c r="D53" s="1">
        <f>SUM(OSRRefD22_8x_0)</f>
        <v>4044</v>
      </c>
      <c r="E53" s="1"/>
      <c r="F53" s="5">
        <f t="shared" si="32"/>
        <v>0</v>
      </c>
      <c r="G53" s="1"/>
      <c r="H53" s="1">
        <f>SUM(OSRRefH22_8x_0)</f>
        <v>4044</v>
      </c>
      <c r="I53" s="1"/>
      <c r="J53" s="5">
        <f t="shared" si="33"/>
        <v>0</v>
      </c>
      <c r="K53" s="1"/>
      <c r="L53" s="1">
        <f t="shared" si="34"/>
        <v>0</v>
      </c>
      <c r="M53" s="1"/>
      <c r="N53" s="5">
        <f t="shared" si="35"/>
        <v>0</v>
      </c>
      <c r="O53" s="14"/>
      <c r="P53" s="1">
        <f>SUM(OSRRefP22_8x_0)</f>
        <v>8088</v>
      </c>
      <c r="Q53" s="1"/>
      <c r="R53" s="5">
        <f t="shared" si="36"/>
        <v>0</v>
      </c>
      <c r="S53" s="1"/>
      <c r="T53" s="1">
        <f>SUM(OSRRefT22_8x_0)</f>
        <v>8088</v>
      </c>
      <c r="U53" s="1"/>
      <c r="V53" s="5">
        <f t="shared" si="37"/>
        <v>0</v>
      </c>
      <c r="W53" s="1"/>
      <c r="X53" s="1">
        <f t="shared" si="38"/>
        <v>0</v>
      </c>
      <c r="Y53" s="1"/>
      <c r="Z53" s="5">
        <f t="shared" si="39"/>
        <v>0</v>
      </c>
    </row>
    <row r="54" spans="1:26" s="24" customFormat="1" hidden="1" outlineLevel="2" x14ac:dyDescent="0.25">
      <c r="A54" s="27"/>
      <c r="B54" s="11" t="str">
        <f>CONCATENATE("          ", "6401", " - ", "INTEREST EXPENSE")</f>
        <v xml:space="preserve">          6401 - INTEREST EXPENSE</v>
      </c>
      <c r="C54" s="11"/>
      <c r="D54" s="6">
        <v>4044</v>
      </c>
      <c r="E54" s="2"/>
      <c r="F54" s="7">
        <f t="shared" si="32"/>
        <v>0</v>
      </c>
      <c r="G54" s="2"/>
      <c r="H54" s="6">
        <v>4044</v>
      </c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>
        <v>8088</v>
      </c>
      <c r="Q54" s="2"/>
      <c r="R54" s="7">
        <f t="shared" si="36"/>
        <v>0</v>
      </c>
      <c r="S54" s="2"/>
      <c r="T54" s="6">
        <v>8088</v>
      </c>
      <c r="U54" s="2"/>
      <c r="V54" s="7">
        <f t="shared" si="37"/>
        <v>0</v>
      </c>
      <c r="W54" s="2"/>
      <c r="X54" s="6">
        <f t="shared" si="38"/>
        <v>0</v>
      </c>
      <c r="Y54" s="2"/>
      <c r="Z54" s="7">
        <f t="shared" si="39"/>
        <v>0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SUM(OSRRefD22_9x_0)</f>
        <v>78.599999999999994</v>
      </c>
      <c r="E55" s="1"/>
      <c r="F55" s="5">
        <f t="shared" si="32"/>
        <v>0</v>
      </c>
      <c r="G55" s="1"/>
      <c r="H55" s="1">
        <f>SUM(OSRRefH22_9x_0)</f>
        <v>75</v>
      </c>
      <c r="I55" s="1"/>
      <c r="J55" s="5">
        <f t="shared" si="33"/>
        <v>0</v>
      </c>
      <c r="K55" s="1"/>
      <c r="L55" s="1">
        <f t="shared" si="34"/>
        <v>3.5999999999999943</v>
      </c>
      <c r="M55" s="1"/>
      <c r="N55" s="5">
        <f t="shared" si="35"/>
        <v>4.7999999999999925E-2</v>
      </c>
      <c r="O55" s="14"/>
      <c r="P55" s="1">
        <f>SUM(OSRRefP22_9x_0)</f>
        <v>78.599999999999994</v>
      </c>
      <c r="Q55" s="1"/>
      <c r="R55" s="5">
        <f t="shared" si="36"/>
        <v>0</v>
      </c>
      <c r="S55" s="1"/>
      <c r="T55" s="1">
        <f>SUM(OSRRefT22_9x_0)</f>
        <v>150</v>
      </c>
      <c r="U55" s="1"/>
      <c r="V55" s="5">
        <f t="shared" si="37"/>
        <v>0</v>
      </c>
      <c r="W55" s="1"/>
      <c r="X55" s="1">
        <f t="shared" si="38"/>
        <v>-71.400000000000006</v>
      </c>
      <c r="Y55" s="1"/>
      <c r="Z55" s="5">
        <f t="shared" si="39"/>
        <v>-0.47600000000000003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78.599999999999994</v>
      </c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78.599999999999994</v>
      </c>
      <c r="M56" s="2"/>
      <c r="N56" s="7">
        <f t="shared" si="35"/>
        <v>0</v>
      </c>
      <c r="O56" s="11"/>
      <c r="P56" s="6">
        <v>78.599999999999994</v>
      </c>
      <c r="Q56" s="2"/>
      <c r="R56" s="7">
        <f t="shared" si="36"/>
        <v>0</v>
      </c>
      <c r="S56" s="2"/>
      <c r="T56" s="6"/>
      <c r="U56" s="2"/>
      <c r="V56" s="7">
        <f t="shared" si="37"/>
        <v>0</v>
      </c>
      <c r="W56" s="2"/>
      <c r="X56" s="6">
        <f t="shared" si="38"/>
        <v>78.599999999999994</v>
      </c>
      <c r="Y56" s="2"/>
      <c r="Z56" s="7">
        <f t="shared" si="39"/>
        <v>0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32"/>
        <v>0</v>
      </c>
      <c r="G57" s="2"/>
      <c r="H57" s="6">
        <v>75</v>
      </c>
      <c r="I57" s="2"/>
      <c r="J57" s="7">
        <f t="shared" si="33"/>
        <v>0</v>
      </c>
      <c r="K57" s="2"/>
      <c r="L57" s="6">
        <f t="shared" si="34"/>
        <v>-75</v>
      </c>
      <c r="M57" s="2"/>
      <c r="N57" s="7">
        <f t="shared" si="35"/>
        <v>-1</v>
      </c>
      <c r="O57" s="11"/>
      <c r="P57" s="6"/>
      <c r="Q57" s="2"/>
      <c r="R57" s="7">
        <f t="shared" si="36"/>
        <v>0</v>
      </c>
      <c r="S57" s="2"/>
      <c r="T57" s="6">
        <v>150</v>
      </c>
      <c r="U57" s="2"/>
      <c r="V57" s="7">
        <f t="shared" si="37"/>
        <v>0</v>
      </c>
      <c r="W57" s="2"/>
      <c r="X57" s="6">
        <f t="shared" si="38"/>
        <v>-150</v>
      </c>
      <c r="Y57" s="2"/>
      <c r="Z57" s="7">
        <f t="shared" si="39"/>
        <v>-1</v>
      </c>
    </row>
    <row r="58" spans="1:26" s="29" customFormat="1" outlineLevel="1" collapsed="1" x14ac:dyDescent="0.25">
      <c r="A58" s="28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SUM(OSRRefD22_10x_0)</f>
        <v>0</v>
      </c>
      <c r="E58" s="1"/>
      <c r="F58" s="5">
        <f t="shared" ref="F58:F61" si="40">IF(D$12=0,0,D58/D$12)</f>
        <v>0</v>
      </c>
      <c r="G58" s="1"/>
      <c r="H58" s="1">
        <f>SUM(OSRRefH22_10x_0)</f>
        <v>299</v>
      </c>
      <c r="I58" s="1"/>
      <c r="J58" s="5">
        <f t="shared" ref="J58:J61" si="41">IF(H$12=0,0,H58/H$12)</f>
        <v>0</v>
      </c>
      <c r="K58" s="1"/>
      <c r="L58" s="1">
        <f t="shared" ref="L58:L61" si="42">+D58-H58</f>
        <v>-299</v>
      </c>
      <c r="M58" s="1"/>
      <c r="N58" s="5">
        <f t="shared" ref="N58:N61" si="43">IF(H58=0,0,L58/H58)</f>
        <v>-1</v>
      </c>
      <c r="O58" s="14"/>
      <c r="P58" s="1">
        <f>SUM(OSRRefP22_10x_0)</f>
        <v>0</v>
      </c>
      <c r="Q58" s="1"/>
      <c r="R58" s="5">
        <f t="shared" ref="R58:R61" si="44">IF(P$12=0,0,P58/P$12)</f>
        <v>0</v>
      </c>
      <c r="S58" s="1"/>
      <c r="T58" s="1">
        <f>SUM(OSRRefT22_10x_0)</f>
        <v>735</v>
      </c>
      <c r="U58" s="1"/>
      <c r="V58" s="5">
        <f t="shared" ref="V58:V61" si="45">IF(T$12=0,0,T58/T$12)</f>
        <v>0</v>
      </c>
      <c r="W58" s="1"/>
      <c r="X58" s="1">
        <f t="shared" ref="X58:X61" si="46">+P58-T58</f>
        <v>-735</v>
      </c>
      <c r="Y58" s="1"/>
      <c r="Z58" s="5">
        <f t="shared" ref="Z58:Z61" si="47">IF(T58=0,0,X58/T58)</f>
        <v>-1</v>
      </c>
    </row>
    <row r="59" spans="1:26" s="24" customFormat="1" hidden="1" outlineLevel="2" x14ac:dyDescent="0.25">
      <c r="A59" s="27"/>
      <c r="B59" s="11" t="str">
        <f>CONCATENATE("          ", "6282", " - ", "JANITORIAL/EXTERMINATOR EXPENS")</f>
        <v xml:space="preserve">          6282 - JANITORIAL/EXTERMINATOR EXPENS</v>
      </c>
      <c r="C59" s="11"/>
      <c r="D59" s="6"/>
      <c r="E59" s="2"/>
      <c r="F59" s="7">
        <f t="shared" si="40"/>
        <v>0</v>
      </c>
      <c r="G59" s="2"/>
      <c r="H59" s="6">
        <v>157</v>
      </c>
      <c r="I59" s="2"/>
      <c r="J59" s="7">
        <f t="shared" si="41"/>
        <v>0</v>
      </c>
      <c r="K59" s="2"/>
      <c r="L59" s="6">
        <f t="shared" si="42"/>
        <v>-157</v>
      </c>
      <c r="M59" s="2"/>
      <c r="N59" s="7">
        <f t="shared" si="43"/>
        <v>-1</v>
      </c>
      <c r="O59" s="11"/>
      <c r="P59" s="6"/>
      <c r="Q59" s="2"/>
      <c r="R59" s="7">
        <f t="shared" si="44"/>
        <v>0</v>
      </c>
      <c r="S59" s="2"/>
      <c r="T59" s="6">
        <v>314</v>
      </c>
      <c r="U59" s="2"/>
      <c r="V59" s="7">
        <f t="shared" si="45"/>
        <v>0</v>
      </c>
      <c r="W59" s="2"/>
      <c r="X59" s="6">
        <f t="shared" si="46"/>
        <v>-314</v>
      </c>
      <c r="Y59" s="2"/>
      <c r="Z59" s="7">
        <f t="shared" si="47"/>
        <v>-1</v>
      </c>
    </row>
    <row r="60" spans="1:26" s="24" customFormat="1" hidden="1" outlineLevel="2" x14ac:dyDescent="0.25">
      <c r="A60" s="27"/>
      <c r="B60" s="11" t="str">
        <f>CONCATENATE("          ", "6284", " - ", "TRASH REMOVAL EXPENSE")</f>
        <v xml:space="preserve">          6284 - TRASH REMOVAL EXPENSE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/>
      <c r="Q60" s="2"/>
      <c r="R60" s="7">
        <f t="shared" si="44"/>
        <v>0</v>
      </c>
      <c r="S60" s="2"/>
      <c r="T60" s="6">
        <v>237</v>
      </c>
      <c r="U60" s="2"/>
      <c r="V60" s="7">
        <f t="shared" si="45"/>
        <v>0</v>
      </c>
      <c r="W60" s="2"/>
      <c r="X60" s="6">
        <f t="shared" si="46"/>
        <v>-237</v>
      </c>
      <c r="Y60" s="2"/>
      <c r="Z60" s="7">
        <f t="shared" si="47"/>
        <v>-1</v>
      </c>
    </row>
    <row r="61" spans="1:26" s="24" customFormat="1" hidden="1" outlineLevel="2" x14ac:dyDescent="0.25">
      <c r="A61" s="27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40"/>
        <v>0</v>
      </c>
      <c r="G61" s="2"/>
      <c r="H61" s="6">
        <v>142</v>
      </c>
      <c r="I61" s="2"/>
      <c r="J61" s="7">
        <f t="shared" si="41"/>
        <v>0</v>
      </c>
      <c r="K61" s="2"/>
      <c r="L61" s="6">
        <f t="shared" si="42"/>
        <v>-142</v>
      </c>
      <c r="M61" s="2"/>
      <c r="N61" s="7">
        <f t="shared" si="43"/>
        <v>-1</v>
      </c>
      <c r="O61" s="11"/>
      <c r="P61" s="6"/>
      <c r="Q61" s="2"/>
      <c r="R61" s="7">
        <f t="shared" si="44"/>
        <v>0</v>
      </c>
      <c r="S61" s="2"/>
      <c r="T61" s="6">
        <v>184</v>
      </c>
      <c r="U61" s="2"/>
      <c r="V61" s="7">
        <f t="shared" si="45"/>
        <v>0</v>
      </c>
      <c r="W61" s="2"/>
      <c r="X61" s="6">
        <f t="shared" si="46"/>
        <v>-184</v>
      </c>
      <c r="Y61" s="2"/>
      <c r="Z61" s="7">
        <f t="shared" si="47"/>
        <v>-1</v>
      </c>
    </row>
    <row r="62" spans="1:26" s="29" customFormat="1" outlineLevel="1" collapsed="1" x14ac:dyDescent="0.25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SUM(OSRRefD22_11x_0)</f>
        <v>0</v>
      </c>
      <c r="E62" s="1"/>
      <c r="F62" s="5">
        <f t="shared" ref="F62:F67" si="48">IF(D$12=0,0,D62/D$12)</f>
        <v>0</v>
      </c>
      <c r="G62" s="1"/>
      <c r="H62" s="1">
        <f>SUM(OSRRefH22_11x_0)</f>
        <v>176</v>
      </c>
      <c r="I62" s="1"/>
      <c r="J62" s="5">
        <f t="shared" ref="J62:J67" si="49">IF(H$12=0,0,H62/H$12)</f>
        <v>0</v>
      </c>
      <c r="K62" s="1"/>
      <c r="L62" s="1">
        <f t="shared" ref="L62:L67" si="50">+D62-H62</f>
        <v>-176</v>
      </c>
      <c r="M62" s="1"/>
      <c r="N62" s="5">
        <f t="shared" ref="N62:N67" si="51">IF(H62=0,0,L62/H62)</f>
        <v>-1</v>
      </c>
      <c r="O62" s="14"/>
      <c r="P62" s="1">
        <f>SUM(OSRRefP22_11x_0)</f>
        <v>0</v>
      </c>
      <c r="Q62" s="1"/>
      <c r="R62" s="5">
        <f t="shared" ref="R62:R67" si="52">IF(P$12=0,0,P62/P$12)</f>
        <v>0</v>
      </c>
      <c r="S62" s="1"/>
      <c r="T62" s="1">
        <f>SUM(OSRRefT22_11x_0)</f>
        <v>352</v>
      </c>
      <c r="U62" s="1"/>
      <c r="V62" s="5">
        <f t="shared" ref="V62:V67" si="53">IF(T$12=0,0,T62/T$12)</f>
        <v>0</v>
      </c>
      <c r="W62" s="1"/>
      <c r="X62" s="1">
        <f t="shared" ref="X62:X67" si="54">+P62-T62</f>
        <v>-352</v>
      </c>
      <c r="Y62" s="1"/>
      <c r="Z62" s="5">
        <f t="shared" ref="Z62:Z67" si="55">IF(T62=0,0,X62/T62)</f>
        <v>-1</v>
      </c>
    </row>
    <row r="63" spans="1:26" s="24" customFormat="1" hidden="1" outlineLevel="2" x14ac:dyDescent="0.25">
      <c r="A63" s="27"/>
      <c r="B63" s="11" t="str">
        <f>CONCATENATE("          ", "6275", " - ", "SUBSCRIPTIONS")</f>
        <v xml:space="preserve">          6275 - SUBSCRIPTIONS</v>
      </c>
      <c r="C63" s="11"/>
      <c r="D63" s="6"/>
      <c r="E63" s="2"/>
      <c r="F63" s="7">
        <f t="shared" si="48"/>
        <v>0</v>
      </c>
      <c r="G63" s="2"/>
      <c r="H63" s="6">
        <v>176</v>
      </c>
      <c r="I63" s="2"/>
      <c r="J63" s="7">
        <f t="shared" si="49"/>
        <v>0</v>
      </c>
      <c r="K63" s="2"/>
      <c r="L63" s="6">
        <f t="shared" si="50"/>
        <v>-176</v>
      </c>
      <c r="M63" s="2"/>
      <c r="N63" s="7">
        <f t="shared" si="51"/>
        <v>-1</v>
      </c>
      <c r="O63" s="11"/>
      <c r="P63" s="6"/>
      <c r="Q63" s="2"/>
      <c r="R63" s="7">
        <f t="shared" si="52"/>
        <v>0</v>
      </c>
      <c r="S63" s="2"/>
      <c r="T63" s="6">
        <v>352</v>
      </c>
      <c r="U63" s="2"/>
      <c r="V63" s="7">
        <f t="shared" si="53"/>
        <v>0</v>
      </c>
      <c r="W63" s="2"/>
      <c r="X63" s="6">
        <f t="shared" si="54"/>
        <v>-352</v>
      </c>
      <c r="Y63" s="2"/>
      <c r="Z63" s="7">
        <f t="shared" si="55"/>
        <v>-1</v>
      </c>
    </row>
    <row r="64" spans="1:26" s="29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SUM(OSRRefD22_12x_0)</f>
        <v>0</v>
      </c>
      <c r="E64" s="1"/>
      <c r="F64" s="5">
        <f t="shared" si="48"/>
        <v>0</v>
      </c>
      <c r="G64" s="1"/>
      <c r="H64" s="1">
        <f>SUM(OSRRefH22_12x_0)</f>
        <v>1528</v>
      </c>
      <c r="I64" s="1"/>
      <c r="J64" s="5">
        <f t="shared" si="49"/>
        <v>0</v>
      </c>
      <c r="K64" s="1"/>
      <c r="L64" s="1">
        <f t="shared" si="50"/>
        <v>-1528</v>
      </c>
      <c r="M64" s="1"/>
      <c r="N64" s="5">
        <f t="shared" si="51"/>
        <v>-1</v>
      </c>
      <c r="O64" s="14"/>
      <c r="P64" s="1">
        <f>SUM(OSRRefP22_12x_0)</f>
        <v>0</v>
      </c>
      <c r="Q64" s="1"/>
      <c r="R64" s="5">
        <f t="shared" si="52"/>
        <v>0</v>
      </c>
      <c r="S64" s="1"/>
      <c r="T64" s="1">
        <f>SUM(OSRRefT22_12x_0)</f>
        <v>1805</v>
      </c>
      <c r="U64" s="1"/>
      <c r="V64" s="5">
        <f t="shared" si="53"/>
        <v>0</v>
      </c>
      <c r="W64" s="1"/>
      <c r="X64" s="1">
        <f t="shared" si="54"/>
        <v>-1805</v>
      </c>
      <c r="Y64" s="1"/>
      <c r="Z64" s="5">
        <f t="shared" si="55"/>
        <v>-1</v>
      </c>
    </row>
    <row r="65" spans="1:26" s="24" customFormat="1" hidden="1" outlineLevel="2" x14ac:dyDescent="0.25">
      <c r="A65" s="27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48"/>
        <v>0</v>
      </c>
      <c r="G65" s="2"/>
      <c r="H65" s="6">
        <v>1000</v>
      </c>
      <c r="I65" s="2"/>
      <c r="J65" s="7">
        <f t="shared" si="49"/>
        <v>0</v>
      </c>
      <c r="K65" s="2"/>
      <c r="L65" s="6">
        <f t="shared" si="50"/>
        <v>-1000</v>
      </c>
      <c r="M65" s="2"/>
      <c r="N65" s="7">
        <f t="shared" si="51"/>
        <v>-1</v>
      </c>
      <c r="O65" s="11"/>
      <c r="P65" s="6"/>
      <c r="Q65" s="2"/>
      <c r="R65" s="7">
        <f t="shared" si="52"/>
        <v>0</v>
      </c>
      <c r="S65" s="2"/>
      <c r="T65" s="6">
        <v>1000</v>
      </c>
      <c r="U65" s="2"/>
      <c r="V65" s="7">
        <f t="shared" si="53"/>
        <v>0</v>
      </c>
      <c r="W65" s="2"/>
      <c r="X65" s="6">
        <f t="shared" si="54"/>
        <v>-1000</v>
      </c>
      <c r="Y65" s="2"/>
      <c r="Z65" s="7">
        <f t="shared" si="55"/>
        <v>-1</v>
      </c>
    </row>
    <row r="66" spans="1:26" s="24" customFormat="1" hidden="1" outlineLevel="2" x14ac:dyDescent="0.25">
      <c r="A66" s="27"/>
      <c r="B66" s="11" t="str">
        <f>CONCATENATE("          ", "6243", " - ", "PAPER SUPPLIES")</f>
        <v xml:space="preserve">          6243 - PAPER SUPPLIES</v>
      </c>
      <c r="C66" s="11"/>
      <c r="D66" s="6"/>
      <c r="E66" s="2"/>
      <c r="F66" s="7">
        <f t="shared" si="48"/>
        <v>0</v>
      </c>
      <c r="G66" s="2"/>
      <c r="H66" s="6">
        <v>193</v>
      </c>
      <c r="I66" s="2"/>
      <c r="J66" s="7">
        <f t="shared" si="49"/>
        <v>0</v>
      </c>
      <c r="K66" s="2"/>
      <c r="L66" s="6">
        <f t="shared" si="50"/>
        <v>-193</v>
      </c>
      <c r="M66" s="2"/>
      <c r="N66" s="7">
        <f t="shared" si="51"/>
        <v>-1</v>
      </c>
      <c r="O66" s="11"/>
      <c r="P66" s="6"/>
      <c r="Q66" s="2"/>
      <c r="R66" s="7">
        <f t="shared" si="52"/>
        <v>0</v>
      </c>
      <c r="S66" s="2"/>
      <c r="T66" s="6">
        <v>193</v>
      </c>
      <c r="U66" s="2"/>
      <c r="V66" s="7">
        <f t="shared" si="53"/>
        <v>0</v>
      </c>
      <c r="W66" s="2"/>
      <c r="X66" s="6">
        <f t="shared" si="54"/>
        <v>-193</v>
      </c>
      <c r="Y66" s="2"/>
      <c r="Z66" s="7">
        <f t="shared" si="55"/>
        <v>-1</v>
      </c>
    </row>
    <row r="67" spans="1:26" s="24" customFormat="1" hidden="1" outlineLevel="2" x14ac:dyDescent="0.25">
      <c r="A67" s="27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8"/>
        <v>0</v>
      </c>
      <c r="G67" s="2"/>
      <c r="H67" s="6">
        <v>335</v>
      </c>
      <c r="I67" s="2"/>
      <c r="J67" s="7">
        <f t="shared" si="49"/>
        <v>0</v>
      </c>
      <c r="K67" s="2"/>
      <c r="L67" s="6">
        <f t="shared" si="50"/>
        <v>-335</v>
      </c>
      <c r="M67" s="2"/>
      <c r="N67" s="7">
        <f t="shared" si="51"/>
        <v>-1</v>
      </c>
      <c r="O67" s="11"/>
      <c r="P67" s="6"/>
      <c r="Q67" s="2"/>
      <c r="R67" s="7">
        <f t="shared" si="52"/>
        <v>0</v>
      </c>
      <c r="S67" s="2"/>
      <c r="T67" s="6">
        <v>612</v>
      </c>
      <c r="U67" s="2"/>
      <c r="V67" s="7">
        <f t="shared" si="53"/>
        <v>0</v>
      </c>
      <c r="W67" s="2"/>
      <c r="X67" s="6">
        <f t="shared" si="54"/>
        <v>-612</v>
      </c>
      <c r="Y67" s="2"/>
      <c r="Z67" s="7">
        <f t="shared" si="55"/>
        <v>-1</v>
      </c>
    </row>
    <row r="68" spans="1:26" s="29" customFormat="1" outlineLevel="1" collapsed="1" x14ac:dyDescent="0.25">
      <c r="A68" s="28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SUM(OSRRefD22_13x_0)</f>
        <v>38</v>
      </c>
      <c r="E68" s="1"/>
      <c r="F68" s="5">
        <f t="shared" ref="F68:F70" si="56">IF(D$12=0,0,D68/D$12)</f>
        <v>0</v>
      </c>
      <c r="G68" s="1"/>
      <c r="H68" s="1">
        <f>SUM(OSRRefH22_13x_0)</f>
        <v>40</v>
      </c>
      <c r="I68" s="1"/>
      <c r="J68" s="5">
        <f t="shared" ref="J68:J70" si="57">IF(H$12=0,0,H68/H$12)</f>
        <v>0</v>
      </c>
      <c r="K68" s="1"/>
      <c r="L68" s="1">
        <f t="shared" ref="L68:L70" si="58">+D68-H68</f>
        <v>-2</v>
      </c>
      <c r="M68" s="1"/>
      <c r="N68" s="5">
        <f t="shared" ref="N68:N70" si="59">IF(H68=0,0,L68/H68)</f>
        <v>-0.05</v>
      </c>
      <c r="O68" s="14"/>
      <c r="P68" s="1">
        <f>SUM(OSRRefP22_13x_0)</f>
        <v>76</v>
      </c>
      <c r="Q68" s="1"/>
      <c r="R68" s="5">
        <f t="shared" ref="R68:R70" si="60">IF(P$12=0,0,P68/P$12)</f>
        <v>0</v>
      </c>
      <c r="S68" s="1"/>
      <c r="T68" s="1">
        <f>SUM(OSRRefT22_13x_0)</f>
        <v>227</v>
      </c>
      <c r="U68" s="1"/>
      <c r="V68" s="5">
        <f t="shared" ref="V68:V70" si="61">IF(T$12=0,0,T68/T$12)</f>
        <v>0</v>
      </c>
      <c r="W68" s="1"/>
      <c r="X68" s="1">
        <f t="shared" ref="X68:X70" si="62">+P68-T68</f>
        <v>-151</v>
      </c>
      <c r="Y68" s="1"/>
      <c r="Z68" s="5">
        <f t="shared" ref="Z68:Z70" si="63">IF(T68=0,0,X68/T68)</f>
        <v>-0.66519823788546251</v>
      </c>
    </row>
    <row r="69" spans="1:26" s="24" customFormat="1" hidden="1" outlineLevel="2" x14ac:dyDescent="0.25">
      <c r="A69" s="27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56"/>
        <v>0</v>
      </c>
      <c r="G69" s="2"/>
      <c r="H69" s="6">
        <v>40</v>
      </c>
      <c r="I69" s="2"/>
      <c r="J69" s="7">
        <f t="shared" si="57"/>
        <v>0</v>
      </c>
      <c r="K69" s="2"/>
      <c r="L69" s="6">
        <f t="shared" si="58"/>
        <v>-40</v>
      </c>
      <c r="M69" s="2"/>
      <c r="N69" s="7">
        <f t="shared" si="59"/>
        <v>-1</v>
      </c>
      <c r="O69" s="11"/>
      <c r="P69" s="6"/>
      <c r="Q69" s="2"/>
      <c r="R69" s="7">
        <f t="shared" si="60"/>
        <v>0</v>
      </c>
      <c r="S69" s="2"/>
      <c r="T69" s="6">
        <v>77</v>
      </c>
      <c r="U69" s="2"/>
      <c r="V69" s="7">
        <f t="shared" si="61"/>
        <v>0</v>
      </c>
      <c r="W69" s="2"/>
      <c r="X69" s="6">
        <f t="shared" si="62"/>
        <v>-77</v>
      </c>
      <c r="Y69" s="2"/>
      <c r="Z69" s="7">
        <f t="shared" si="63"/>
        <v>-1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38</v>
      </c>
      <c r="E70" s="2"/>
      <c r="F70" s="7">
        <f t="shared" si="56"/>
        <v>0</v>
      </c>
      <c r="G70" s="2"/>
      <c r="H70" s="6"/>
      <c r="I70" s="2"/>
      <c r="J70" s="7">
        <f t="shared" si="57"/>
        <v>0</v>
      </c>
      <c r="K70" s="2"/>
      <c r="L70" s="6">
        <f t="shared" si="58"/>
        <v>38</v>
      </c>
      <c r="M70" s="2"/>
      <c r="N70" s="7">
        <f t="shared" si="59"/>
        <v>0</v>
      </c>
      <c r="O70" s="11"/>
      <c r="P70" s="6">
        <v>76</v>
      </c>
      <c r="Q70" s="2"/>
      <c r="R70" s="7">
        <f t="shared" si="60"/>
        <v>0</v>
      </c>
      <c r="S70" s="2"/>
      <c r="T70" s="6">
        <v>150</v>
      </c>
      <c r="U70" s="2"/>
      <c r="V70" s="7">
        <f t="shared" si="61"/>
        <v>0</v>
      </c>
      <c r="W70" s="2"/>
      <c r="X70" s="6">
        <f t="shared" si="62"/>
        <v>-74</v>
      </c>
      <c r="Y70" s="2"/>
      <c r="Z70" s="7">
        <f t="shared" si="63"/>
        <v>-0.49333333333333335</v>
      </c>
    </row>
    <row r="71" spans="1:26" s="29" customFormat="1" outlineLevel="1" collapsed="1" x14ac:dyDescent="0.25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SUM(OSRRefD22_14x_0)</f>
        <v>0</v>
      </c>
      <c r="E71" s="1"/>
      <c r="F71" s="5">
        <f t="shared" ref="F71:F72" si="64">IF(D$12=0,0,D71/D$12)</f>
        <v>0</v>
      </c>
      <c r="G71" s="1"/>
      <c r="H71" s="1">
        <f>SUM(OSRRefH22_14x_0)</f>
        <v>0</v>
      </c>
      <c r="I71" s="1"/>
      <c r="J71" s="5">
        <f t="shared" ref="J71:J72" si="65">IF(H$12=0,0,H71/H$12)</f>
        <v>0</v>
      </c>
      <c r="K71" s="1"/>
      <c r="L71" s="1">
        <f t="shared" ref="L71:L72" si="66">+D71-H71</f>
        <v>0</v>
      </c>
      <c r="M71" s="1"/>
      <c r="N71" s="5">
        <f t="shared" ref="N71:N72" si="67">IF(H71=0,0,L71/H71)</f>
        <v>0</v>
      </c>
      <c r="O71" s="14"/>
      <c r="P71" s="1">
        <f>SUM(OSRRefP22_14x_0)</f>
        <v>0</v>
      </c>
      <c r="Q71" s="1"/>
      <c r="R71" s="5">
        <f t="shared" ref="R71:R72" si="68">IF(P$12=0,0,P71/P$12)</f>
        <v>0</v>
      </c>
      <c r="S71" s="1"/>
      <c r="T71" s="1">
        <f>SUM(OSRRefT22_14x_0)</f>
        <v>771</v>
      </c>
      <c r="U71" s="1"/>
      <c r="V71" s="5">
        <f t="shared" ref="V71:V72" si="69">IF(T$12=0,0,T71/T$12)</f>
        <v>0</v>
      </c>
      <c r="W71" s="1"/>
      <c r="X71" s="1">
        <f t="shared" ref="X71:X72" si="70">+P71-T71</f>
        <v>-771</v>
      </c>
      <c r="Y71" s="1"/>
      <c r="Z71" s="5">
        <f t="shared" ref="Z71:Z72" si="71">IF(T71=0,0,X71/T71)</f>
        <v>-1</v>
      </c>
    </row>
    <row r="72" spans="1:26" s="24" customFormat="1" hidden="1" outlineLevel="2" x14ac:dyDescent="0.25">
      <c r="A72" s="27"/>
      <c r="B72" s="11" t="str">
        <f>CONCATENATE("          ", "6274", " - ", "UTILITIES")</f>
        <v xml:space="preserve">          6274 - UTILITIES</v>
      </c>
      <c r="C72" s="11"/>
      <c r="D72" s="6"/>
      <c r="E72" s="2"/>
      <c r="F72" s="7">
        <f t="shared" si="64"/>
        <v>0</v>
      </c>
      <c r="G72" s="2"/>
      <c r="H72" s="6"/>
      <c r="I72" s="2"/>
      <c r="J72" s="7">
        <f t="shared" si="65"/>
        <v>0</v>
      </c>
      <c r="K72" s="2"/>
      <c r="L72" s="6">
        <f t="shared" si="66"/>
        <v>0</v>
      </c>
      <c r="M72" s="2"/>
      <c r="N72" s="7">
        <f t="shared" si="67"/>
        <v>0</v>
      </c>
      <c r="O72" s="11"/>
      <c r="P72" s="6"/>
      <c r="Q72" s="2"/>
      <c r="R72" s="7">
        <f t="shared" si="68"/>
        <v>0</v>
      </c>
      <c r="S72" s="2"/>
      <c r="T72" s="6">
        <v>771</v>
      </c>
      <c r="U72" s="2"/>
      <c r="V72" s="7">
        <f t="shared" si="69"/>
        <v>0</v>
      </c>
      <c r="W72" s="2"/>
      <c r="X72" s="6">
        <f t="shared" si="70"/>
        <v>-771</v>
      </c>
      <c r="Y72" s="2"/>
      <c r="Z72" s="7">
        <f t="shared" si="71"/>
        <v>-1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2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2" customFormat="1" x14ac:dyDescent="0.25">
      <c r="A76" s="10"/>
      <c r="B76" s="26" t="s">
        <v>3</v>
      </c>
      <c r="C76" s="26"/>
      <c r="D76" s="21">
        <f>+D17-D19+D74</f>
        <v>-9297.77</v>
      </c>
      <c r="E76" s="13"/>
      <c r="F76" s="20">
        <f>IF(D$12=0,0,D76/D$12)</f>
        <v>0</v>
      </c>
      <c r="G76" s="13"/>
      <c r="H76" s="21">
        <f>+H17-H19+H74</f>
        <v>-22675.020919999999</v>
      </c>
      <c r="I76" s="13"/>
      <c r="J76" s="20">
        <f>IF(H$12=0,0,H76/H$12)</f>
        <v>0</v>
      </c>
      <c r="K76" s="16"/>
      <c r="L76" s="21">
        <f>+D76-H76</f>
        <v>13377.250919999999</v>
      </c>
      <c r="M76" s="16"/>
      <c r="N76" s="20">
        <f>IF(H76=0,0,L76/H76)</f>
        <v>-0.5899553948460039</v>
      </c>
      <c r="O76" s="25"/>
      <c r="P76" s="21">
        <f>+P17-P19+P74</f>
        <v>-23734.17</v>
      </c>
      <c r="Q76" s="13"/>
      <c r="R76" s="20">
        <f>IF(P$12=0,0,P76/P$12)</f>
        <v>0</v>
      </c>
      <c r="S76" s="13"/>
      <c r="T76" s="21">
        <f>+T17-T19+T74</f>
        <v>-43837.896919999999</v>
      </c>
      <c r="U76" s="13"/>
      <c r="V76" s="20">
        <f>IF(T$12=0,0,T76/T$12)</f>
        <v>0</v>
      </c>
      <c r="W76" s="16"/>
      <c r="X76" s="21">
        <f>+P76-T76</f>
        <v>20103.726920000001</v>
      </c>
      <c r="Y76" s="16"/>
      <c r="Z76" s="20">
        <f>IF(T76=0,0,X76/T76)</f>
        <v>-0.45859241278584589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ht="15.75" thickBot="1" x14ac:dyDescent="0.3">
      <c r="A80" s="10"/>
      <c r="B80" s="26" t="s">
        <v>4</v>
      </c>
      <c r="C80" s="26"/>
      <c r="D80" s="33">
        <f>+D76-D78</f>
        <v>-9297.77</v>
      </c>
      <c r="E80" s="13"/>
      <c r="F80" s="31">
        <f>IF(D$12=0,0,D80/D$12)</f>
        <v>0</v>
      </c>
      <c r="G80" s="13"/>
      <c r="H80" s="33">
        <f>+H76-H78</f>
        <v>-22675.020919999999</v>
      </c>
      <c r="I80" s="13"/>
      <c r="J80" s="31">
        <f>IF(H$12=0,0,H80/H$12)</f>
        <v>0</v>
      </c>
      <c r="K80" s="16"/>
      <c r="L80" s="33">
        <f>D80-H80</f>
        <v>13377.250919999999</v>
      </c>
      <c r="M80" s="16"/>
      <c r="N80" s="31">
        <f>IF(H80=0,0,L80/H80)</f>
        <v>-0.5899553948460039</v>
      </c>
      <c r="O80" s="25"/>
      <c r="P80" s="33">
        <f>+P76-P78</f>
        <v>-23734.17</v>
      </c>
      <c r="Q80" s="13"/>
      <c r="R80" s="31">
        <f>IF(P$12=0,0,P80/P$12)</f>
        <v>0</v>
      </c>
      <c r="S80" s="13"/>
      <c r="T80" s="33">
        <f>+T76-T78</f>
        <v>-43837.896919999999</v>
      </c>
      <c r="U80" s="13"/>
      <c r="V80" s="31">
        <f>IF(T$12=0,0,T80/T$12)</f>
        <v>0</v>
      </c>
      <c r="W80" s="16"/>
      <c r="X80" s="33">
        <f>P80-T80</f>
        <v>20103.726920000001</v>
      </c>
      <c r="Y80" s="16"/>
      <c r="Z80" s="31">
        <f>IF(T80=0,0,X80/T80)</f>
        <v>-0.45859241278584589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2" customFormat="1" ht="15.75" thickBot="1" x14ac:dyDescent="0.3">
      <c r="A83" s="10"/>
      <c r="B83" s="26" t="s">
        <v>5</v>
      </c>
      <c r="C83" s="26"/>
      <c r="D83" s="32">
        <f>SUM(D80:D82)</f>
        <v>-9297.77</v>
      </c>
      <c r="E83" s="13"/>
      <c r="F83" s="35">
        <f>IF(D$12=0,0,D83/D$12)</f>
        <v>0</v>
      </c>
      <c r="G83" s="13"/>
      <c r="H83" s="32">
        <f>SUM(H80:H82)</f>
        <v>-22675.020919999999</v>
      </c>
      <c r="I83" s="13"/>
      <c r="J83" s="35">
        <f>IF(H$12=0,0,H83/H$12)</f>
        <v>0</v>
      </c>
      <c r="K83" s="16"/>
      <c r="L83" s="32">
        <f>+D83-H83</f>
        <v>13377.250919999999</v>
      </c>
      <c r="M83" s="16"/>
      <c r="N83" s="35">
        <f>IF(H83=0,0,L83/H83)</f>
        <v>-0.5899553948460039</v>
      </c>
      <c r="O83" s="25"/>
      <c r="P83" s="32">
        <f>SUM(P80:P82)</f>
        <v>-23734.17</v>
      </c>
      <c r="Q83" s="13"/>
      <c r="R83" s="35">
        <f>IF(P$12=0,0,P83/P$12)</f>
        <v>0</v>
      </c>
      <c r="S83" s="13"/>
      <c r="T83" s="32">
        <f>SUM(T80:T82)</f>
        <v>-43837.896919999999</v>
      </c>
      <c r="U83" s="13"/>
      <c r="V83" s="35">
        <f>IF(T$12=0,0,T83/T$12)</f>
        <v>0</v>
      </c>
      <c r="W83" s="16"/>
      <c r="X83" s="32">
        <f>+P83-T83</f>
        <v>20103.726920000001</v>
      </c>
      <c r="Y83" s="16"/>
      <c r="Z83" s="35">
        <f>IF(T83=0,0,X83/T83)</f>
        <v>-0.45859241278584589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59">
        <v>44113.68968815972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2" t="s">
        <v>314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63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","327", " - ", "C-Store Vending Machine(s)")</f>
        <v>Department 327 - C-Store Vending Machine(s)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110</v>
      </c>
      <c r="E12" s="4"/>
      <c r="F12" s="12"/>
      <c r="G12" s="4"/>
      <c r="H12" s="4">
        <f>SUM(OSRRefH13x_0)</f>
        <v>222</v>
      </c>
      <c r="I12" s="4"/>
      <c r="J12" s="12"/>
      <c r="K12" s="4"/>
      <c r="L12" s="4">
        <f t="shared" ref="L12:L14" si="0">+D12-H12</f>
        <v>-112</v>
      </c>
      <c r="M12" s="4"/>
      <c r="N12" s="12">
        <f t="shared" ref="N12:N14" si="1">IF(H12=0,0,L12/H12)</f>
        <v>-0.50450450450450446</v>
      </c>
      <c r="O12" s="10"/>
      <c r="P12" s="4">
        <f>SUM(OSRRefP13x_0)</f>
        <v>110</v>
      </c>
      <c r="Q12" s="4"/>
      <c r="R12" s="12"/>
      <c r="S12" s="4"/>
      <c r="T12" s="4">
        <f>SUM(OSRRefT13x_0)</f>
        <v>272</v>
      </c>
      <c r="U12" s="4"/>
      <c r="V12" s="12"/>
      <c r="W12" s="4"/>
      <c r="X12" s="4">
        <f t="shared" ref="X12:X14" si="2">+P12-T12</f>
        <v>-162</v>
      </c>
      <c r="Y12" s="4"/>
      <c r="Z12" s="12">
        <f t="shared" ref="Z12:Z14" si="3">IF(T12=0,0,X12/T12)</f>
        <v>-0.59558823529411764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>
        <v>222</v>
      </c>
      <c r="I13" s="2"/>
      <c r="J13" s="23"/>
      <c r="K13" s="2"/>
      <c r="L13" s="2">
        <f t="shared" si="0"/>
        <v>-222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272</v>
      </c>
      <c r="U13" s="2"/>
      <c r="V13" s="23"/>
      <c r="W13" s="2"/>
      <c r="X13" s="2">
        <f t="shared" si="2"/>
        <v>-272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>--110</f>
        <v>110</v>
      </c>
      <c r="E14" s="2"/>
      <c r="F14" s="23"/>
      <c r="G14" s="2"/>
      <c r="H14" s="2"/>
      <c r="I14" s="2"/>
      <c r="J14" s="23"/>
      <c r="K14" s="2"/>
      <c r="L14" s="2">
        <f t="shared" si="0"/>
        <v>110</v>
      </c>
      <c r="M14" s="2"/>
      <c r="N14" s="23">
        <f t="shared" si="1"/>
        <v>0</v>
      </c>
      <c r="O14" s="11"/>
      <c r="P14" s="2">
        <f>--110</f>
        <v>110</v>
      </c>
      <c r="Q14" s="2"/>
      <c r="R14" s="23"/>
      <c r="S14" s="2"/>
      <c r="T14" s="2"/>
      <c r="U14" s="2"/>
      <c r="V14" s="23"/>
      <c r="W14" s="2"/>
      <c r="X14" s="2">
        <f t="shared" si="2"/>
        <v>110</v>
      </c>
      <c r="Y14" s="2"/>
      <c r="Z14" s="23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collapsed="1" x14ac:dyDescent="0.25">
      <c r="A16" s="10"/>
      <c r="B16" s="25" t="s">
        <v>8</v>
      </c>
      <c r="C16" s="10"/>
      <c r="D16" s="4">
        <f>SUM(OSRRefD16x_0)</f>
        <v>68.91</v>
      </c>
      <c r="E16" s="4"/>
      <c r="F16" s="12">
        <f t="shared" ref="F16:F18" si="4">IF(D$12=0,0,D16/D$12)</f>
        <v>0.62645454545454538</v>
      </c>
      <c r="G16" s="4"/>
      <c r="H16" s="4">
        <f>SUM(OSRRefH16x_0)</f>
        <v>111</v>
      </c>
      <c r="I16" s="4"/>
      <c r="J16" s="12">
        <f t="shared" ref="J16:J18" si="5">IF(H$12=0,0,H16/H$12)</f>
        <v>0.5</v>
      </c>
      <c r="K16" s="4"/>
      <c r="L16" s="4">
        <f t="shared" ref="L16:L18" si="6">+D16-H16</f>
        <v>-42.09</v>
      </c>
      <c r="M16" s="4"/>
      <c r="N16" s="12">
        <f t="shared" ref="N16:N18" si="7">IF(H16=0,0,L16/H16)</f>
        <v>-0.3791891891891892</v>
      </c>
      <c r="O16" s="10"/>
      <c r="P16" s="4">
        <f>SUM(OSRRefP16x_0)</f>
        <v>68.91</v>
      </c>
      <c r="Q16" s="4"/>
      <c r="R16" s="12">
        <f t="shared" ref="R16:R18" si="8">IF(P$12=0,0,P16/P$12)</f>
        <v>0.62645454545454538</v>
      </c>
      <c r="S16" s="4"/>
      <c r="T16" s="4">
        <f>SUM(OSRRefT16x_0)</f>
        <v>136</v>
      </c>
      <c r="U16" s="4"/>
      <c r="V16" s="12">
        <f t="shared" ref="V16:V18" si="9">IF(T$12=0,0,T16/T$12)</f>
        <v>0.5</v>
      </c>
      <c r="W16" s="4"/>
      <c r="X16" s="4">
        <f t="shared" ref="X16:X18" si="10">+P16-T16</f>
        <v>-67.09</v>
      </c>
      <c r="Y16" s="4"/>
      <c r="Z16" s="12">
        <f t="shared" ref="Z16:Z18" si="11">IF(T16=0,0,X16/T16)</f>
        <v>-0.4933088235294118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3">
        <f t="shared" si="4"/>
        <v>0</v>
      </c>
      <c r="G17" s="2"/>
      <c r="H17" s="2">
        <v>111</v>
      </c>
      <c r="I17" s="2"/>
      <c r="J17" s="23">
        <f t="shared" si="5"/>
        <v>0.5</v>
      </c>
      <c r="K17" s="2"/>
      <c r="L17" s="2">
        <f t="shared" si="6"/>
        <v>-111</v>
      </c>
      <c r="M17" s="2"/>
      <c r="N17" s="23">
        <f t="shared" si="7"/>
        <v>-1</v>
      </c>
      <c r="O17" s="11"/>
      <c r="P17" s="2"/>
      <c r="Q17" s="2"/>
      <c r="R17" s="23">
        <f t="shared" si="8"/>
        <v>0</v>
      </c>
      <c r="S17" s="2"/>
      <c r="T17" s="2">
        <v>136</v>
      </c>
      <c r="U17" s="2"/>
      <c r="V17" s="23">
        <f t="shared" si="9"/>
        <v>0.5</v>
      </c>
      <c r="W17" s="2"/>
      <c r="X17" s="2">
        <f t="shared" si="10"/>
        <v>-136</v>
      </c>
      <c r="Y17" s="2"/>
      <c r="Z17" s="23">
        <f t="shared" si="11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>
        <v>68.91</v>
      </c>
      <c r="E18" s="2"/>
      <c r="F18" s="23">
        <f t="shared" si="4"/>
        <v>0.62645454545454538</v>
      </c>
      <c r="G18" s="2"/>
      <c r="H18" s="2"/>
      <c r="I18" s="2"/>
      <c r="J18" s="23">
        <f t="shared" si="5"/>
        <v>0</v>
      </c>
      <c r="K18" s="2"/>
      <c r="L18" s="2">
        <f t="shared" si="6"/>
        <v>68.91</v>
      </c>
      <c r="M18" s="2"/>
      <c r="N18" s="23">
        <f t="shared" si="7"/>
        <v>0</v>
      </c>
      <c r="O18" s="11"/>
      <c r="P18" s="2">
        <v>68.91</v>
      </c>
      <c r="Q18" s="2"/>
      <c r="R18" s="23">
        <f t="shared" si="8"/>
        <v>0.62645454545454538</v>
      </c>
      <c r="S18" s="2"/>
      <c r="T18" s="2"/>
      <c r="U18" s="2"/>
      <c r="V18" s="23">
        <f t="shared" si="9"/>
        <v>0</v>
      </c>
      <c r="W18" s="2"/>
      <c r="X18" s="2">
        <f t="shared" si="10"/>
        <v>68.91</v>
      </c>
      <c r="Y18" s="2"/>
      <c r="Z18" s="23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2" customFormat="1" x14ac:dyDescent="0.25">
      <c r="A20" s="10"/>
      <c r="B20" s="26" t="s">
        <v>6</v>
      </c>
      <c r="C20" s="26"/>
      <c r="D20" s="21">
        <f>D12-D16</f>
        <v>41.09</v>
      </c>
      <c r="E20" s="13"/>
      <c r="F20" s="20">
        <f>IF(D$12=0,0,D20/D$12)</f>
        <v>0.37354545454545457</v>
      </c>
      <c r="G20" s="13"/>
      <c r="H20" s="21">
        <f>H12-H16</f>
        <v>111</v>
      </c>
      <c r="I20" s="13"/>
      <c r="J20" s="20">
        <f>IF(H$12=0,0,H20/H$12)</f>
        <v>0.5</v>
      </c>
      <c r="K20" s="16"/>
      <c r="L20" s="21">
        <f>+D20-H20</f>
        <v>-69.91</v>
      </c>
      <c r="M20" s="16"/>
      <c r="N20" s="20">
        <f>IF(H20=0,0,L20/H20)</f>
        <v>-0.62981981981981983</v>
      </c>
      <c r="O20" s="25"/>
      <c r="P20" s="21">
        <f>P12-P16</f>
        <v>41.09</v>
      </c>
      <c r="Q20" s="13"/>
      <c r="R20" s="20">
        <f>IF(P$12=0,0,P20/P$12)</f>
        <v>0.37354545454545457</v>
      </c>
      <c r="S20" s="13"/>
      <c r="T20" s="21">
        <f>T12-T16</f>
        <v>136</v>
      </c>
      <c r="U20" s="13"/>
      <c r="V20" s="20">
        <f>IF(T$12=0,0,T20/T$12)</f>
        <v>0.5</v>
      </c>
      <c r="W20" s="16"/>
      <c r="X20" s="21">
        <f>+P20-T20</f>
        <v>-94.91</v>
      </c>
      <c r="Y20" s="16"/>
      <c r="Z20" s="20">
        <f>IF(T20=0,0,X20/T20)</f>
        <v>-0.69786764705882354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5" t="s">
        <v>9</v>
      </c>
      <c r="C22" s="10"/>
      <c r="D22" s="19">
        <f>SUM(OSRRefD22x_0)</f>
        <v>0</v>
      </c>
      <c r="E22" s="19"/>
      <c r="F22" s="30">
        <f t="shared" ref="F22:F24" si="12">IF(D$12=0,0,D22/D$12)</f>
        <v>0</v>
      </c>
      <c r="G22" s="19"/>
      <c r="H22" s="19">
        <f>SUM(OSRRefH22x_0)</f>
        <v>20</v>
      </c>
      <c r="I22" s="19"/>
      <c r="J22" s="30">
        <f t="shared" ref="J22:J24" si="13">IF(H$12=0,0,H22/H$12)</f>
        <v>9.0090090090090086E-2</v>
      </c>
      <c r="K22" s="4"/>
      <c r="L22" s="19">
        <f t="shared" ref="L22:L24" si="14">+D22-H22</f>
        <v>-20</v>
      </c>
      <c r="M22" s="4"/>
      <c r="N22" s="30">
        <f t="shared" ref="N22:N24" si="15">IF(H22=0,0,L22/H22)</f>
        <v>-1</v>
      </c>
      <c r="O22" s="10"/>
      <c r="P22" s="19">
        <f>SUM(OSRRefP22x_0)</f>
        <v>0</v>
      </c>
      <c r="Q22" s="19"/>
      <c r="R22" s="30">
        <f t="shared" ref="R22:R24" si="16">IF(P$12=0,0,P22/P$12)</f>
        <v>0</v>
      </c>
      <c r="S22" s="19"/>
      <c r="T22" s="19">
        <f>SUM(OSRRefT22x_0)</f>
        <v>25</v>
      </c>
      <c r="U22" s="19"/>
      <c r="V22" s="30">
        <f t="shared" ref="V22:V24" si="17">IF(T$12=0,0,T22/T$12)</f>
        <v>9.1911764705882359E-2</v>
      </c>
      <c r="W22" s="4"/>
      <c r="X22" s="19">
        <f t="shared" ref="X22:X24" si="18">+P22-T22</f>
        <v>-25</v>
      </c>
      <c r="Y22" s="4"/>
      <c r="Z22" s="30">
        <f t="shared" ref="Z22:Z24" si="19">IF(T22=0,0,X22/T22)</f>
        <v>-1</v>
      </c>
    </row>
    <row r="23" spans="1:26" s="29" customFormat="1" outlineLevel="1" collapsed="1" x14ac:dyDescent="0.25">
      <c r="A23" s="28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2"/>
        <v>0</v>
      </c>
      <c r="G23" s="1"/>
      <c r="H23" s="1">
        <f>SUM(OSRRefH22_0x_0)</f>
        <v>20</v>
      </c>
      <c r="I23" s="1"/>
      <c r="J23" s="5">
        <f t="shared" si="13"/>
        <v>9.0090090090090086E-2</v>
      </c>
      <c r="K23" s="1"/>
      <c r="L23" s="1">
        <f t="shared" si="14"/>
        <v>-20</v>
      </c>
      <c r="M23" s="1"/>
      <c r="N23" s="5">
        <f t="shared" si="15"/>
        <v>-1</v>
      </c>
      <c r="O23" s="14"/>
      <c r="P23" s="1">
        <f>SUM(OSRRefP22_0x_0)</f>
        <v>0</v>
      </c>
      <c r="Q23" s="1"/>
      <c r="R23" s="5">
        <f t="shared" si="16"/>
        <v>0</v>
      </c>
      <c r="S23" s="1"/>
      <c r="T23" s="1">
        <f>SUM(OSRRefT22_0x_0)</f>
        <v>25</v>
      </c>
      <c r="U23" s="1"/>
      <c r="V23" s="5">
        <f t="shared" si="17"/>
        <v>9.1911764705882359E-2</v>
      </c>
      <c r="W23" s="1"/>
      <c r="X23" s="1">
        <f t="shared" si="18"/>
        <v>-25</v>
      </c>
      <c r="Y23" s="1"/>
      <c r="Z23" s="5">
        <f t="shared" si="19"/>
        <v>-1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2"/>
        <v>0</v>
      </c>
      <c r="G24" s="2"/>
      <c r="H24" s="6">
        <v>20</v>
      </c>
      <c r="I24" s="2"/>
      <c r="J24" s="7">
        <f t="shared" si="13"/>
        <v>9.0090090090090086E-2</v>
      </c>
      <c r="K24" s="2"/>
      <c r="L24" s="6">
        <f t="shared" si="14"/>
        <v>-20</v>
      </c>
      <c r="M24" s="2"/>
      <c r="N24" s="7">
        <f t="shared" si="15"/>
        <v>-1</v>
      </c>
      <c r="O24" s="11"/>
      <c r="P24" s="6"/>
      <c r="Q24" s="2"/>
      <c r="R24" s="7">
        <f t="shared" si="16"/>
        <v>0</v>
      </c>
      <c r="S24" s="2"/>
      <c r="T24" s="6">
        <v>25</v>
      </c>
      <c r="U24" s="2"/>
      <c r="V24" s="7">
        <f t="shared" si="17"/>
        <v>9.1911764705882359E-2</v>
      </c>
      <c r="W24" s="2"/>
      <c r="X24" s="6">
        <f t="shared" si="18"/>
        <v>-25</v>
      </c>
      <c r="Y24" s="2"/>
      <c r="Z24" s="7">
        <f t="shared" si="19"/>
        <v>-1</v>
      </c>
    </row>
    <row r="25" spans="1:26" s="61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2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2" customFormat="1" x14ac:dyDescent="0.25">
      <c r="A28" s="10"/>
      <c r="B28" s="26" t="s">
        <v>3</v>
      </c>
      <c r="C28" s="26"/>
      <c r="D28" s="21">
        <f>+D20-D22+D26</f>
        <v>41.09</v>
      </c>
      <c r="E28" s="13"/>
      <c r="F28" s="20">
        <f>IF(D$12=0,0,D28/D$12)</f>
        <v>0.37354545454545457</v>
      </c>
      <c r="G28" s="13"/>
      <c r="H28" s="21">
        <f>+H20-H22+H26</f>
        <v>91</v>
      </c>
      <c r="I28" s="13"/>
      <c r="J28" s="20">
        <f>IF(H$12=0,0,H28/H$12)</f>
        <v>0.40990990990990989</v>
      </c>
      <c r="K28" s="16"/>
      <c r="L28" s="21">
        <f>+D28-H28</f>
        <v>-49.91</v>
      </c>
      <c r="M28" s="16"/>
      <c r="N28" s="20">
        <f>IF(H28=0,0,L28/H28)</f>
        <v>-0.54846153846153844</v>
      </c>
      <c r="O28" s="25"/>
      <c r="P28" s="21">
        <f>+P20-P22+P26</f>
        <v>41.09</v>
      </c>
      <c r="Q28" s="13"/>
      <c r="R28" s="20">
        <f>IF(P$12=0,0,P28/P$12)</f>
        <v>0.37354545454545457</v>
      </c>
      <c r="S28" s="13"/>
      <c r="T28" s="21">
        <f>+T20-T22+T26</f>
        <v>111</v>
      </c>
      <c r="U28" s="13"/>
      <c r="V28" s="20">
        <f>IF(T$12=0,0,T28/T$12)</f>
        <v>0.40808823529411764</v>
      </c>
      <c r="W28" s="16"/>
      <c r="X28" s="21">
        <f>+P28-T28</f>
        <v>-69.91</v>
      </c>
      <c r="Y28" s="16"/>
      <c r="Z28" s="20">
        <f>IF(T28=0,0,X28/T28)</f>
        <v>-0.62981981981981983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2" customFormat="1" x14ac:dyDescent="0.25">
      <c r="A30" s="52"/>
      <c r="B30" s="10" t="s">
        <v>14</v>
      </c>
      <c r="C30" s="10"/>
      <c r="D30" s="4">
        <v>18.57</v>
      </c>
      <c r="E30" s="4"/>
      <c r="F30" s="12">
        <f>IF(D$12=0,0,D30/D$12)</f>
        <v>0.16881818181818181</v>
      </c>
      <c r="G30" s="4"/>
      <c r="H30" s="4">
        <v>20</v>
      </c>
      <c r="I30" s="4"/>
      <c r="J30" s="12">
        <f>IF(H$12=0,0,H30/H$12)</f>
        <v>9.0090090090090086E-2</v>
      </c>
      <c r="K30" s="4"/>
      <c r="L30" s="4">
        <f>+D30-H30</f>
        <v>-1.4299999999999997</v>
      </c>
      <c r="M30" s="4"/>
      <c r="N30" s="12">
        <f>IF(H30=0,0,L30/H30)</f>
        <v>-7.149999999999998E-2</v>
      </c>
      <c r="O30" s="10"/>
      <c r="P30" s="4">
        <v>18.57</v>
      </c>
      <c r="Q30" s="4"/>
      <c r="R30" s="12">
        <f>IF(P$12=0,0,P30/P$12)</f>
        <v>0.16881818181818181</v>
      </c>
      <c r="S30" s="4"/>
      <c r="T30" s="4">
        <v>44</v>
      </c>
      <c r="U30" s="4"/>
      <c r="V30" s="12">
        <f>IF(T$12=0,0,T30/T$12)</f>
        <v>0.16176470588235295</v>
      </c>
      <c r="W30" s="4"/>
      <c r="X30" s="4">
        <f>+P30-T30</f>
        <v>-25.43</v>
      </c>
      <c r="Y30" s="4"/>
      <c r="Z30" s="12">
        <f>IF(T30=0,0,X30/T30)</f>
        <v>-0.5779545454545455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2" customFormat="1" ht="15.75" thickBot="1" x14ac:dyDescent="0.3">
      <c r="A32" s="10"/>
      <c r="B32" s="26" t="s">
        <v>4</v>
      </c>
      <c r="C32" s="26"/>
      <c r="D32" s="33">
        <f>+D28-D30</f>
        <v>22.520000000000003</v>
      </c>
      <c r="E32" s="13"/>
      <c r="F32" s="31">
        <f>IF(D$12=0,0,D32/D$12)</f>
        <v>0.20472727272727276</v>
      </c>
      <c r="G32" s="13"/>
      <c r="H32" s="33">
        <f>+H28-H30</f>
        <v>71</v>
      </c>
      <c r="I32" s="13"/>
      <c r="J32" s="31">
        <f>IF(H$12=0,0,H32/H$12)</f>
        <v>0.31981981981981983</v>
      </c>
      <c r="K32" s="16"/>
      <c r="L32" s="33">
        <f>D32-H32</f>
        <v>-48.48</v>
      </c>
      <c r="M32" s="16"/>
      <c r="N32" s="31">
        <f>IF(H32=0,0,L32/H32)</f>
        <v>-0.68281690140845064</v>
      </c>
      <c r="O32" s="25"/>
      <c r="P32" s="33">
        <f>+P28-P30</f>
        <v>22.520000000000003</v>
      </c>
      <c r="Q32" s="13"/>
      <c r="R32" s="31">
        <f>IF(P$12=0,0,P32/P$12)</f>
        <v>0.20472727272727276</v>
      </c>
      <c r="S32" s="13"/>
      <c r="T32" s="33">
        <f>+T28-T30</f>
        <v>67</v>
      </c>
      <c r="U32" s="13"/>
      <c r="V32" s="31">
        <f>IF(T$12=0,0,T32/T$12)</f>
        <v>0.24632352941176472</v>
      </c>
      <c r="W32" s="16"/>
      <c r="X32" s="33">
        <f>P32-T32</f>
        <v>-44.48</v>
      </c>
      <c r="Y32" s="16"/>
      <c r="Z32" s="31">
        <f>IF(T32=0,0,X32/T32)</f>
        <v>-0.6638805970149253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2" customFormat="1" ht="15.75" thickBot="1" x14ac:dyDescent="0.3">
      <c r="A35" s="10"/>
      <c r="B35" s="26" t="s">
        <v>5</v>
      </c>
      <c r="C35" s="26"/>
      <c r="D35" s="32">
        <f>SUM(D32:D34)</f>
        <v>22.520000000000003</v>
      </c>
      <c r="E35" s="13"/>
      <c r="F35" s="35">
        <f>IF(D$12=0,0,D35/D$12)</f>
        <v>0.20472727272727276</v>
      </c>
      <c r="G35" s="13"/>
      <c r="H35" s="32">
        <f>SUM(H32:H34)</f>
        <v>71</v>
      </c>
      <c r="I35" s="13"/>
      <c r="J35" s="35">
        <f>IF(H$12=0,0,H35/H$12)</f>
        <v>0.31981981981981983</v>
      </c>
      <c r="K35" s="16"/>
      <c r="L35" s="32">
        <f>+D35-H35</f>
        <v>-48.48</v>
      </c>
      <c r="M35" s="16"/>
      <c r="N35" s="35">
        <f>IF(H35=0,0,L35/H35)</f>
        <v>-0.68281690140845064</v>
      </c>
      <c r="O35" s="25"/>
      <c r="P35" s="32">
        <f>SUM(P32:P34)</f>
        <v>22.520000000000003</v>
      </c>
      <c r="Q35" s="13"/>
      <c r="R35" s="35">
        <f>IF(P$12=0,0,P35/P$12)</f>
        <v>0.20472727272727276</v>
      </c>
      <c r="S35" s="13"/>
      <c r="T35" s="32">
        <f>SUM(T32:T34)</f>
        <v>67</v>
      </c>
      <c r="U35" s="13"/>
      <c r="V35" s="35">
        <f>IF(T$12=0,0,T35/T$12)</f>
        <v>0.24632352941176472</v>
      </c>
      <c r="W35" s="16"/>
      <c r="X35" s="32">
        <f>+P35-T35</f>
        <v>-44.48</v>
      </c>
      <c r="Y35" s="16"/>
      <c r="Z35" s="35">
        <f>IF(T35=0,0,X35/T35)</f>
        <v>-0.6638805970149253</v>
      </c>
    </row>
    <row r="36" spans="1:26" ht="15.75" thickTop="1" x14ac:dyDescent="0.25">
      <c r="A36" s="9"/>
      <c r="C36" s="9"/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9">
        <v>44113.689722418982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2" t="s">
        <v>314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3"/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54547.020000000004</v>
      </c>
      <c r="E12" s="4"/>
      <c r="F12" s="12"/>
      <c r="G12" s="4"/>
      <c r="H12" s="4">
        <f>SUM(OSRRefH13x_0)</f>
        <v>142468</v>
      </c>
      <c r="I12" s="4"/>
      <c r="J12" s="12"/>
      <c r="K12" s="4"/>
      <c r="L12" s="4">
        <f t="shared" ref="L12:L19" si="0">+D12-H12</f>
        <v>-87920.98</v>
      </c>
      <c r="M12" s="4"/>
      <c r="N12" s="12">
        <f t="shared" ref="N12:N19" si="1">IF(H12=0,0,L12/H12)</f>
        <v>-0.61712791644439446</v>
      </c>
      <c r="O12" s="10"/>
      <c r="P12" s="4">
        <f>SUM(OSRRefP13x_0)</f>
        <v>74849.850000000006</v>
      </c>
      <c r="Q12" s="4"/>
      <c r="R12" s="12"/>
      <c r="S12" s="4"/>
      <c r="T12" s="4">
        <f>SUM(OSRRefT13x_0)</f>
        <v>146803</v>
      </c>
      <c r="U12" s="4"/>
      <c r="V12" s="12"/>
      <c r="W12" s="4"/>
      <c r="X12" s="4">
        <f t="shared" ref="X12:X19" si="2">+P12-T12</f>
        <v>-71953.149999999994</v>
      </c>
      <c r="Y12" s="4"/>
      <c r="Z12" s="12">
        <f t="shared" ref="Z12:Z19" si="3">IF(T12=0,0,X12/T12)</f>
        <v>-0.49013405720591535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3"/>
      <c r="G13" s="2"/>
      <c r="H13" s="2">
        <v>2643</v>
      </c>
      <c r="I13" s="2"/>
      <c r="J13" s="23"/>
      <c r="K13" s="2"/>
      <c r="L13" s="2">
        <f t="shared" si="0"/>
        <v>-2643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3991</v>
      </c>
      <c r="U13" s="2"/>
      <c r="V13" s="23"/>
      <c r="W13" s="2"/>
      <c r="X13" s="2">
        <f t="shared" si="2"/>
        <v>-3991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--2510.72</f>
        <v>2510.7199999999998</v>
      </c>
      <c r="E14" s="2"/>
      <c r="F14" s="23"/>
      <c r="G14" s="2"/>
      <c r="H14" s="2"/>
      <c r="I14" s="2"/>
      <c r="J14" s="23"/>
      <c r="K14" s="2"/>
      <c r="L14" s="2">
        <f t="shared" si="0"/>
        <v>2510.7199999999998</v>
      </c>
      <c r="M14" s="2"/>
      <c r="N14" s="23">
        <f t="shared" si="1"/>
        <v>0</v>
      </c>
      <c r="O14" s="11"/>
      <c r="P14" s="2">
        <f>--2510.72</f>
        <v>2510.7199999999998</v>
      </c>
      <c r="Q14" s="2"/>
      <c r="R14" s="23"/>
      <c r="S14" s="2"/>
      <c r="T14" s="2"/>
      <c r="U14" s="2"/>
      <c r="V14" s="23"/>
      <c r="W14" s="2"/>
      <c r="X14" s="2">
        <f t="shared" si="2"/>
        <v>2510.7199999999998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"4053", " - ", "TAXABLE SALES-FOOD")</f>
        <v xml:space="preserve">          4053 - TAXABLE SALES-FOOD</v>
      </c>
      <c r="C15" s="11"/>
      <c r="D15" s="2">
        <f>--140.01</f>
        <v>140.01</v>
      </c>
      <c r="E15" s="2"/>
      <c r="F15" s="23"/>
      <c r="G15" s="2"/>
      <c r="H15" s="2"/>
      <c r="I15" s="2"/>
      <c r="J15" s="23"/>
      <c r="K15" s="2"/>
      <c r="L15" s="2">
        <f t="shared" si="0"/>
        <v>140.01</v>
      </c>
      <c r="M15" s="2"/>
      <c r="N15" s="23">
        <f t="shared" si="1"/>
        <v>0</v>
      </c>
      <c r="O15" s="11"/>
      <c r="P15" s="2">
        <f>--339.9</f>
        <v>339.9</v>
      </c>
      <c r="Q15" s="2"/>
      <c r="R15" s="23"/>
      <c r="S15" s="2"/>
      <c r="T15" s="2"/>
      <c r="U15" s="2"/>
      <c r="V15" s="23"/>
      <c r="W15" s="2"/>
      <c r="X15" s="2">
        <f t="shared" si="2"/>
        <v>339.9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3"/>
      <c r="G16" s="2"/>
      <c r="H16" s="2"/>
      <c r="I16" s="2"/>
      <c r="J16" s="23"/>
      <c r="K16" s="2"/>
      <c r="L16" s="2">
        <f t="shared" si="0"/>
        <v>0</v>
      </c>
      <c r="M16" s="2"/>
      <c r="N16" s="23">
        <f t="shared" si="1"/>
        <v>0</v>
      </c>
      <c r="O16" s="11"/>
      <c r="P16" s="2">
        <f>--974.91</f>
        <v>974.91</v>
      </c>
      <c r="Q16" s="2"/>
      <c r="R16" s="23"/>
      <c r="S16" s="2"/>
      <c r="T16" s="2"/>
      <c r="U16" s="2"/>
      <c r="V16" s="23"/>
      <c r="W16" s="2"/>
      <c r="X16" s="2">
        <f t="shared" si="2"/>
        <v>974.91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3"/>
      <c r="G17" s="2"/>
      <c r="H17" s="2">
        <v>139825</v>
      </c>
      <c r="I17" s="2"/>
      <c r="J17" s="23"/>
      <c r="K17" s="2"/>
      <c r="L17" s="2">
        <f t="shared" si="0"/>
        <v>-139825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142812</v>
      </c>
      <c r="U17" s="2"/>
      <c r="V17" s="23"/>
      <c r="W17" s="2"/>
      <c r="X17" s="2">
        <f t="shared" si="2"/>
        <v>-142812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>--42758.9</f>
        <v>42758.9</v>
      </c>
      <c r="E18" s="2"/>
      <c r="F18" s="23"/>
      <c r="G18" s="2"/>
      <c r="H18" s="2"/>
      <c r="I18" s="2"/>
      <c r="J18" s="23"/>
      <c r="K18" s="2"/>
      <c r="L18" s="2">
        <f t="shared" si="0"/>
        <v>42758.9</v>
      </c>
      <c r="M18" s="2"/>
      <c r="N18" s="23">
        <f t="shared" si="1"/>
        <v>0</v>
      </c>
      <c r="O18" s="11"/>
      <c r="P18" s="2">
        <f>--44058.9</f>
        <v>44058.9</v>
      </c>
      <c r="Q18" s="2"/>
      <c r="R18" s="23"/>
      <c r="S18" s="2"/>
      <c r="T18" s="2"/>
      <c r="U18" s="2"/>
      <c r="V18" s="23"/>
      <c r="W18" s="2"/>
      <c r="X18" s="2">
        <f t="shared" si="2"/>
        <v>44058.9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"4153", " - ", "NON-TAXABLE SALES-FOOD")</f>
        <v xml:space="preserve">          4153 - NON-TAXABLE SALES-FOOD</v>
      </c>
      <c r="C19" s="11"/>
      <c r="D19" s="2">
        <f>--9137.39</f>
        <v>9137.39</v>
      </c>
      <c r="E19" s="2"/>
      <c r="F19" s="23"/>
      <c r="G19" s="2"/>
      <c r="H19" s="2"/>
      <c r="I19" s="2"/>
      <c r="J19" s="23"/>
      <c r="K19" s="2"/>
      <c r="L19" s="2">
        <f t="shared" si="0"/>
        <v>9137.39</v>
      </c>
      <c r="M19" s="2"/>
      <c r="N19" s="23">
        <f t="shared" si="1"/>
        <v>0</v>
      </c>
      <c r="O19" s="11"/>
      <c r="P19" s="2">
        <f>--26965.42</f>
        <v>26965.42</v>
      </c>
      <c r="Q19" s="2"/>
      <c r="R19" s="23"/>
      <c r="S19" s="2"/>
      <c r="T19" s="2"/>
      <c r="U19" s="2"/>
      <c r="V19" s="23"/>
      <c r="W19" s="2"/>
      <c r="X19" s="2">
        <f t="shared" si="2"/>
        <v>26965.42</v>
      </c>
      <c r="Y19" s="2"/>
      <c r="Z19" s="23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2" customFormat="1" collapsed="1" x14ac:dyDescent="0.25">
      <c r="A21" s="10"/>
      <c r="B21" s="25" t="s">
        <v>8</v>
      </c>
      <c r="C21" s="10"/>
      <c r="D21" s="4">
        <f>SUM(OSRRefD16x_0)</f>
        <v>50318.539999999994</v>
      </c>
      <c r="E21" s="4"/>
      <c r="F21" s="12">
        <f t="shared" ref="F21:F24" si="5">IF(D$12=0,0,D21/D$12)</f>
        <v>0.92248009148804078</v>
      </c>
      <c r="G21" s="4"/>
      <c r="H21" s="4">
        <f>SUM(OSRRefH16x_0)</f>
        <v>55509</v>
      </c>
      <c r="I21" s="4"/>
      <c r="J21" s="12">
        <f t="shared" ref="J21:J24" si="6">IF(H$12=0,0,H21/H$12)</f>
        <v>0.38962433669315216</v>
      </c>
      <c r="K21" s="4"/>
      <c r="L21" s="4">
        <f t="shared" ref="L21:L24" si="7">+D21-H21</f>
        <v>-5190.4600000000064</v>
      </c>
      <c r="M21" s="4"/>
      <c r="N21" s="12">
        <f t="shared" ref="N21:N24" si="8">IF(H21=0,0,L21/H21)</f>
        <v>-9.3506638563116001E-2</v>
      </c>
      <c r="O21" s="10"/>
      <c r="P21" s="4">
        <f>SUM(OSRRefP16x_0)</f>
        <v>62008.160000000003</v>
      </c>
      <c r="Q21" s="4"/>
      <c r="R21" s="12">
        <f t="shared" ref="R21:R24" si="9">IF(P$12=0,0,P21/P$12)</f>
        <v>0.82843399151768504</v>
      </c>
      <c r="S21" s="4"/>
      <c r="T21" s="4">
        <f>SUM(OSRRefT16x_0)</f>
        <v>56549</v>
      </c>
      <c r="U21" s="4"/>
      <c r="V21" s="12">
        <f t="shared" ref="V21:V24" si="10">IF(T$12=0,0,T21/T$12)</f>
        <v>0.3852032996600887</v>
      </c>
      <c r="W21" s="4"/>
      <c r="X21" s="4">
        <f t="shared" ref="X21:X24" si="11">+P21-T21</f>
        <v>5459.1600000000035</v>
      </c>
      <c r="Y21" s="4"/>
      <c r="Z21" s="12">
        <f t="shared" ref="Z21:Z24" si="12">IF(T21=0,0,X21/T21)</f>
        <v>9.6538577163168285E-2</v>
      </c>
    </row>
    <row r="22" spans="1:26" s="24" customFormat="1" hidden="1" outlineLevel="1" x14ac:dyDescent="0.25">
      <c r="A22" s="51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23">
        <f t="shared" si="5"/>
        <v>0</v>
      </c>
      <c r="G22" s="2"/>
      <c r="H22" s="2">
        <v>55509</v>
      </c>
      <c r="I22" s="2"/>
      <c r="J22" s="23">
        <f t="shared" si="6"/>
        <v>0.38962433669315216</v>
      </c>
      <c r="K22" s="2"/>
      <c r="L22" s="2">
        <f t="shared" si="7"/>
        <v>-55509</v>
      </c>
      <c r="M22" s="2"/>
      <c r="N22" s="23">
        <f t="shared" si="8"/>
        <v>-1</v>
      </c>
      <c r="O22" s="11"/>
      <c r="P22" s="2"/>
      <c r="Q22" s="2"/>
      <c r="R22" s="23">
        <f t="shared" si="9"/>
        <v>0</v>
      </c>
      <c r="S22" s="2"/>
      <c r="T22" s="2">
        <v>56549</v>
      </c>
      <c r="U22" s="2"/>
      <c r="V22" s="23">
        <f t="shared" si="10"/>
        <v>0.3852032996600887</v>
      </c>
      <c r="W22" s="2"/>
      <c r="X22" s="2">
        <f t="shared" si="11"/>
        <v>-56549</v>
      </c>
      <c r="Y22" s="2"/>
      <c r="Z22" s="23">
        <f t="shared" si="12"/>
        <v>-1</v>
      </c>
    </row>
    <row r="23" spans="1:26" s="24" customFormat="1" hidden="1" outlineLevel="1" x14ac:dyDescent="0.25">
      <c r="A23" s="51"/>
      <c r="B23" s="11" t="str">
        <f>CONCATENATE("          ", "5053", " - ", "PURCHASES @ COST-FOOD")</f>
        <v xml:space="preserve">          5053 - PURCHASES @ COST-FOOD</v>
      </c>
      <c r="C23" s="11"/>
      <c r="D23" s="2">
        <v>80529.539999999994</v>
      </c>
      <c r="E23" s="2"/>
      <c r="F23" s="23">
        <f t="shared" si="5"/>
        <v>1.47633252925641</v>
      </c>
      <c r="G23" s="2"/>
      <c r="H23" s="2"/>
      <c r="I23" s="2"/>
      <c r="J23" s="23">
        <f t="shared" si="6"/>
        <v>0</v>
      </c>
      <c r="K23" s="2"/>
      <c r="L23" s="2">
        <f t="shared" si="7"/>
        <v>80529.539999999994</v>
      </c>
      <c r="M23" s="2"/>
      <c r="N23" s="23">
        <f t="shared" si="8"/>
        <v>0</v>
      </c>
      <c r="O23" s="11"/>
      <c r="P23" s="2">
        <v>88810.16</v>
      </c>
      <c r="Q23" s="2"/>
      <c r="R23" s="23">
        <f t="shared" si="9"/>
        <v>1.1865108614112119</v>
      </c>
      <c r="S23" s="2"/>
      <c r="T23" s="2"/>
      <c r="U23" s="2"/>
      <c r="V23" s="23">
        <f t="shared" si="10"/>
        <v>0</v>
      </c>
      <c r="W23" s="2"/>
      <c r="X23" s="2">
        <f t="shared" si="11"/>
        <v>88810.16</v>
      </c>
      <c r="Y23" s="2"/>
      <c r="Z23" s="23">
        <f t="shared" si="12"/>
        <v>0</v>
      </c>
    </row>
    <row r="24" spans="1:26" s="24" customFormat="1" hidden="1" outlineLevel="1" x14ac:dyDescent="0.25">
      <c r="A24" s="51"/>
      <c r="B24" s="11" t="str">
        <f>CONCATENATE("          ", "5059", " - ", "PURCHASES @ COST-FOOD")</f>
        <v xml:space="preserve">          5059 - PURCHASES @ COST-FOOD</v>
      </c>
      <c r="C24" s="11"/>
      <c r="D24" s="2">
        <v>-30211</v>
      </c>
      <c r="E24" s="2"/>
      <c r="F24" s="23">
        <f t="shared" si="5"/>
        <v>-0.55385243776836934</v>
      </c>
      <c r="G24" s="2"/>
      <c r="H24" s="2"/>
      <c r="I24" s="2"/>
      <c r="J24" s="23">
        <f t="shared" si="6"/>
        <v>0</v>
      </c>
      <c r="K24" s="2"/>
      <c r="L24" s="2">
        <f t="shared" si="7"/>
        <v>-30211</v>
      </c>
      <c r="M24" s="2"/>
      <c r="N24" s="23">
        <f t="shared" si="8"/>
        <v>0</v>
      </c>
      <c r="O24" s="11"/>
      <c r="P24" s="2">
        <v>-26802</v>
      </c>
      <c r="Q24" s="2"/>
      <c r="R24" s="23">
        <f t="shared" si="9"/>
        <v>-0.35807686989352683</v>
      </c>
      <c r="S24" s="2"/>
      <c r="T24" s="2"/>
      <c r="U24" s="2"/>
      <c r="V24" s="23">
        <f t="shared" si="10"/>
        <v>0</v>
      </c>
      <c r="W24" s="2"/>
      <c r="X24" s="2">
        <f t="shared" si="11"/>
        <v>-26802</v>
      </c>
      <c r="Y24" s="2"/>
      <c r="Z24" s="23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x14ac:dyDescent="0.25">
      <c r="A26" s="10"/>
      <c r="B26" s="26" t="s">
        <v>6</v>
      </c>
      <c r="C26" s="26"/>
      <c r="D26" s="21">
        <f>D12-D21</f>
        <v>4228.4800000000105</v>
      </c>
      <c r="E26" s="13"/>
      <c r="F26" s="20">
        <f>IF(D$12=0,0,D26/D$12)</f>
        <v>7.7519908511959223E-2</v>
      </c>
      <c r="G26" s="13"/>
      <c r="H26" s="21">
        <f>H12-H21</f>
        <v>86959</v>
      </c>
      <c r="I26" s="13"/>
      <c r="J26" s="20">
        <f>IF(H$12=0,0,H26/H$12)</f>
        <v>0.61037566330684789</v>
      </c>
      <c r="K26" s="16"/>
      <c r="L26" s="21">
        <f>+D26-H26</f>
        <v>-82730.51999999999</v>
      </c>
      <c r="M26" s="16"/>
      <c r="N26" s="20">
        <f>IF(H26=0,0,L26/H26)</f>
        <v>-0.95137386584482331</v>
      </c>
      <c r="O26" s="25"/>
      <c r="P26" s="21">
        <f>P12-P21</f>
        <v>12841.690000000002</v>
      </c>
      <c r="Q26" s="13"/>
      <c r="R26" s="20">
        <f>IF(P$12=0,0,P26/P$12)</f>
        <v>0.17156600848231496</v>
      </c>
      <c r="S26" s="13"/>
      <c r="T26" s="21">
        <f>T12-T21</f>
        <v>90254</v>
      </c>
      <c r="U26" s="13"/>
      <c r="V26" s="20">
        <f>IF(T$12=0,0,T26/T$12)</f>
        <v>0.6147967003399113</v>
      </c>
      <c r="W26" s="16"/>
      <c r="X26" s="21">
        <f>+P26-T26</f>
        <v>-77412.31</v>
      </c>
      <c r="Y26" s="16"/>
      <c r="Z26" s="20">
        <f>IF(T26=0,0,X26/T26)</f>
        <v>-0.85771611230527178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2" customFormat="1" x14ac:dyDescent="0.25">
      <c r="A28" s="10"/>
      <c r="B28" s="25" t="s">
        <v>9</v>
      </c>
      <c r="C28" s="10"/>
      <c r="D28" s="19">
        <f>SUM(OSRRefD22x_0)</f>
        <v>282928.91000000009</v>
      </c>
      <c r="E28" s="19"/>
      <c r="F28" s="30">
        <f t="shared" ref="F28:F39" si="13">IF(D$12=0,0,D28/D$12)</f>
        <v>5.1868811531775716</v>
      </c>
      <c r="G28" s="19"/>
      <c r="H28" s="19">
        <f>SUM(OSRRefH22x_0)</f>
        <v>414856.03942470561</v>
      </c>
      <c r="I28" s="19"/>
      <c r="J28" s="30">
        <f t="shared" ref="J28:J39" si="14">IF(H$12=0,0,H28/H$12)</f>
        <v>2.9119243579239242</v>
      </c>
      <c r="K28" s="4"/>
      <c r="L28" s="19">
        <f t="shared" ref="L28:L39" si="15">+D28-H28</f>
        <v>-131927.12942470552</v>
      </c>
      <c r="M28" s="4"/>
      <c r="N28" s="30">
        <f t="shared" ref="N28:N39" si="16">IF(H28=0,0,L28/H28)</f>
        <v>-0.31800701180017332</v>
      </c>
      <c r="O28" s="10"/>
      <c r="P28" s="19">
        <f>SUM(OSRRefP22x_0)</f>
        <v>596024.06000000006</v>
      </c>
      <c r="Q28" s="19"/>
      <c r="R28" s="30">
        <f t="shared" ref="R28:R39" si="17">IF(P$12=0,0,P28/P$12)</f>
        <v>7.9629292510272229</v>
      </c>
      <c r="S28" s="19"/>
      <c r="T28" s="19">
        <f>SUM(OSRRefT22x_0)</f>
        <v>820461.57539600425</v>
      </c>
      <c r="U28" s="19"/>
      <c r="V28" s="30">
        <f t="shared" ref="V28:V39" si="18">IF(T$12=0,0,T28/T$12)</f>
        <v>5.5888610954544813</v>
      </c>
      <c r="W28" s="4"/>
      <c r="X28" s="19">
        <f t="shared" ref="X28:X39" si="19">+P28-T28</f>
        <v>-224437.51539600419</v>
      </c>
      <c r="Y28" s="4"/>
      <c r="Z28" s="30">
        <f t="shared" ref="Z28:Z39" si="20">IF(T28=0,0,X28/T28)</f>
        <v>-0.27355030646947376</v>
      </c>
    </row>
    <row r="29" spans="1:26" s="29" customFormat="1" outlineLevel="1" collapsed="1" x14ac:dyDescent="0.25">
      <c r="A29" s="28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93657.88</v>
      </c>
      <c r="E29" s="1"/>
      <c r="F29" s="5">
        <f t="shared" si="13"/>
        <v>1.7170118550930922</v>
      </c>
      <c r="G29" s="1"/>
      <c r="H29" s="1">
        <f>SUM(OSRRefH22_0x_0)</f>
        <v>110398.0802806031</v>
      </c>
      <c r="I29" s="1"/>
      <c r="J29" s="5">
        <f t="shared" si="14"/>
        <v>0.77489738243397188</v>
      </c>
      <c r="K29" s="1"/>
      <c r="L29" s="1">
        <f t="shared" si="15"/>
        <v>-16740.200280603094</v>
      </c>
      <c r="M29" s="1"/>
      <c r="N29" s="5">
        <f t="shared" si="16"/>
        <v>-0.15163488566154298</v>
      </c>
      <c r="O29" s="14"/>
      <c r="P29" s="1">
        <f>SUM(OSRRefP22_0x_0)</f>
        <v>191173.16000000003</v>
      </c>
      <c r="Q29" s="1"/>
      <c r="R29" s="5">
        <f t="shared" si="17"/>
        <v>2.5540887523488691</v>
      </c>
      <c r="S29" s="1"/>
      <c r="T29" s="1">
        <f>SUM(OSRRefT22_0x_0)</f>
        <v>236780.3714801069</v>
      </c>
      <c r="U29" s="1"/>
      <c r="V29" s="5">
        <f t="shared" si="18"/>
        <v>1.6129123483859791</v>
      </c>
      <c r="W29" s="1"/>
      <c r="X29" s="1">
        <f t="shared" si="19"/>
        <v>-45607.211480106867</v>
      </c>
      <c r="Y29" s="1"/>
      <c r="Z29" s="5">
        <f t="shared" si="20"/>
        <v>-0.1926139873631314</v>
      </c>
    </row>
    <row r="30" spans="1:26" s="24" customFormat="1" hidden="1" outlineLevel="2" x14ac:dyDescent="0.25">
      <c r="A30" s="27"/>
      <c r="B30" s="11" t="str">
        <f>CONCATENATE("          ", "6111", " - ", "F.I.C.A.")</f>
        <v xml:space="preserve">          6111 - F.I.C.A.</v>
      </c>
      <c r="C30" s="11"/>
      <c r="D30" s="6">
        <v>9402.5499999999993</v>
      </c>
      <c r="E30" s="2"/>
      <c r="F30" s="7">
        <f t="shared" si="13"/>
        <v>0.17237513616692532</v>
      </c>
      <c r="G30" s="2"/>
      <c r="H30" s="6">
        <v>12323.006760526152</v>
      </c>
      <c r="I30" s="2"/>
      <c r="J30" s="7">
        <f t="shared" si="14"/>
        <v>8.6496664237064827E-2</v>
      </c>
      <c r="K30" s="2"/>
      <c r="L30" s="6">
        <f t="shared" si="15"/>
        <v>-2920.4567605261527</v>
      </c>
      <c r="M30" s="2"/>
      <c r="N30" s="7">
        <f t="shared" si="16"/>
        <v>-0.23699222253785884</v>
      </c>
      <c r="O30" s="11"/>
      <c r="P30" s="6">
        <v>18417.710000000003</v>
      </c>
      <c r="Q30" s="2"/>
      <c r="R30" s="7">
        <f t="shared" si="17"/>
        <v>0.24606208295674609</v>
      </c>
      <c r="S30" s="2"/>
      <c r="T30" s="6">
        <v>25733.216108683842</v>
      </c>
      <c r="U30" s="2"/>
      <c r="V30" s="7">
        <f t="shared" si="18"/>
        <v>0.175290805424166</v>
      </c>
      <c r="W30" s="2"/>
      <c r="X30" s="6">
        <f t="shared" si="19"/>
        <v>-7315.5061086838396</v>
      </c>
      <c r="Y30" s="2"/>
      <c r="Z30" s="7">
        <f t="shared" si="20"/>
        <v>-0.28428262047724279</v>
      </c>
    </row>
    <row r="31" spans="1:26" s="24" customFormat="1" hidden="1" outlineLevel="2" x14ac:dyDescent="0.25">
      <c r="A31" s="27"/>
      <c r="B31" s="11" t="str">
        <f>CONCATENATE("          ", "6112", " - ", "COMPENSATION INSURANCE")</f>
        <v xml:space="preserve">          6112 - COMPENSATION INSURANCE</v>
      </c>
      <c r="C31" s="11"/>
      <c r="D31" s="6">
        <v>4477.29</v>
      </c>
      <c r="E31" s="2"/>
      <c r="F31" s="7">
        <f t="shared" si="13"/>
        <v>8.2081294266854538E-2</v>
      </c>
      <c r="G31" s="2"/>
      <c r="H31" s="6">
        <v>6896.0435701384613</v>
      </c>
      <c r="I31" s="2"/>
      <c r="J31" s="7">
        <f t="shared" si="14"/>
        <v>4.8404157917135503E-2</v>
      </c>
      <c r="K31" s="2"/>
      <c r="L31" s="6">
        <f t="shared" si="15"/>
        <v>-2418.7535701384613</v>
      </c>
      <c r="M31" s="2"/>
      <c r="N31" s="7">
        <f t="shared" si="16"/>
        <v>-0.35074511138709302</v>
      </c>
      <c r="O31" s="11"/>
      <c r="P31" s="6">
        <v>8617.4</v>
      </c>
      <c r="Q31" s="2"/>
      <c r="R31" s="7">
        <f t="shared" si="17"/>
        <v>0.11512915523544802</v>
      </c>
      <c r="S31" s="2"/>
      <c r="T31" s="6">
        <v>13939.020137561538</v>
      </c>
      <c r="U31" s="2"/>
      <c r="V31" s="7">
        <f t="shared" si="18"/>
        <v>9.4950512847568086E-2</v>
      </c>
      <c r="W31" s="2"/>
      <c r="X31" s="6">
        <f t="shared" si="19"/>
        <v>-5321.6201375615383</v>
      </c>
      <c r="Y31" s="2"/>
      <c r="Z31" s="7">
        <f t="shared" si="20"/>
        <v>-0.38177863903226206</v>
      </c>
    </row>
    <row r="32" spans="1:26" s="24" customFormat="1" hidden="1" outlineLevel="2" x14ac:dyDescent="0.25">
      <c r="A32" s="27"/>
      <c r="B32" s="11" t="str">
        <f>CONCATENATE("          ", "6113", " - ", "GROUP INSURANCE")</f>
        <v xml:space="preserve">          6113 - GROUP INSURANCE</v>
      </c>
      <c r="C32" s="11"/>
      <c r="D32" s="6">
        <v>55053.17</v>
      </c>
      <c r="E32" s="2"/>
      <c r="F32" s="7">
        <f t="shared" si="13"/>
        <v>1.0092791503550513</v>
      </c>
      <c r="G32" s="2"/>
      <c r="H32" s="6">
        <v>66855.384615384639</v>
      </c>
      <c r="I32" s="2"/>
      <c r="J32" s="7">
        <f t="shared" si="14"/>
        <v>0.46926597281764776</v>
      </c>
      <c r="K32" s="2"/>
      <c r="L32" s="6">
        <f t="shared" si="15"/>
        <v>-11802.214615384641</v>
      </c>
      <c r="M32" s="2"/>
      <c r="N32" s="7">
        <f t="shared" si="16"/>
        <v>-0.17653349364874849</v>
      </c>
      <c r="O32" s="11"/>
      <c r="P32" s="6">
        <v>110362.78</v>
      </c>
      <c r="Q32" s="2"/>
      <c r="R32" s="7">
        <f t="shared" si="17"/>
        <v>1.4744555934313828</v>
      </c>
      <c r="S32" s="2"/>
      <c r="T32" s="6">
        <v>144584.61538461535</v>
      </c>
      <c r="U32" s="2"/>
      <c r="V32" s="7">
        <f t="shared" si="18"/>
        <v>0.98488869699267279</v>
      </c>
      <c r="W32" s="2"/>
      <c r="X32" s="6">
        <f t="shared" si="19"/>
        <v>-34221.835384615348</v>
      </c>
      <c r="Y32" s="2"/>
      <c r="Z32" s="7">
        <f t="shared" si="20"/>
        <v>-0.2366907107895295</v>
      </c>
    </row>
    <row r="33" spans="1:26" s="24" customFormat="1" hidden="1" outlineLevel="2" x14ac:dyDescent="0.25">
      <c r="A33" s="27"/>
      <c r="B33" s="11" t="str">
        <f>CONCATENATE("          ", "6114", " - ", "STATE UNEMPLOYMENT INSURANCE")</f>
        <v xml:space="preserve">          6114 - STATE UNEMPLOYMENT INSURANCE</v>
      </c>
      <c r="C33" s="11"/>
      <c r="D33" s="6">
        <v>323.45999999999998</v>
      </c>
      <c r="E33" s="2"/>
      <c r="F33" s="7">
        <f t="shared" si="13"/>
        <v>5.9299298110144227E-3</v>
      </c>
      <c r="G33" s="2"/>
      <c r="H33" s="6">
        <v>444.50818839999999</v>
      </c>
      <c r="I33" s="2"/>
      <c r="J33" s="7">
        <f t="shared" si="14"/>
        <v>3.1200563523036753E-3</v>
      </c>
      <c r="K33" s="2"/>
      <c r="L33" s="6">
        <f t="shared" si="15"/>
        <v>-121.04818840000002</v>
      </c>
      <c r="M33" s="2"/>
      <c r="N33" s="7">
        <f t="shared" si="16"/>
        <v>-0.27231936679436886</v>
      </c>
      <c r="O33" s="11"/>
      <c r="P33" s="6">
        <v>698.03</v>
      </c>
      <c r="Q33" s="2"/>
      <c r="R33" s="7">
        <f t="shared" si="17"/>
        <v>9.3257367917236964E-3</v>
      </c>
      <c r="S33" s="2"/>
      <c r="T33" s="6">
        <v>904.56294539999999</v>
      </c>
      <c r="U33" s="2"/>
      <c r="V33" s="7">
        <f t="shared" si="18"/>
        <v>6.1617470038078243E-3</v>
      </c>
      <c r="W33" s="2"/>
      <c r="X33" s="6">
        <f t="shared" si="19"/>
        <v>-206.53294540000002</v>
      </c>
      <c r="Y33" s="2"/>
      <c r="Z33" s="7">
        <f t="shared" si="20"/>
        <v>-0.2283234643319052</v>
      </c>
    </row>
    <row r="34" spans="1:26" s="24" customFormat="1" hidden="1" outlineLevel="2" x14ac:dyDescent="0.25">
      <c r="A34" s="27"/>
      <c r="B34" s="11" t="str">
        <f>CONCATENATE("          ", "6115", " - ", "P.E.R.S.")</f>
        <v xml:space="preserve">          6115 - P.E.R.S.</v>
      </c>
      <c r="C34" s="11"/>
      <c r="D34" s="6">
        <v>6333.53</v>
      </c>
      <c r="E34" s="2"/>
      <c r="F34" s="7">
        <f t="shared" si="13"/>
        <v>0.11611138426993811</v>
      </c>
      <c r="G34" s="2"/>
      <c r="H34" s="6">
        <v>5989.2751107692384</v>
      </c>
      <c r="I34" s="2"/>
      <c r="J34" s="7">
        <f t="shared" si="14"/>
        <v>4.2039441213249561E-2</v>
      </c>
      <c r="K34" s="2"/>
      <c r="L34" s="6">
        <f t="shared" si="15"/>
        <v>344.25488923076136</v>
      </c>
      <c r="M34" s="2"/>
      <c r="N34" s="7">
        <f t="shared" si="16"/>
        <v>5.747855673080722E-2</v>
      </c>
      <c r="O34" s="11"/>
      <c r="P34" s="6">
        <v>16360.089999999998</v>
      </c>
      <c r="Q34" s="2"/>
      <c r="R34" s="7">
        <f t="shared" si="17"/>
        <v>0.21857211470697666</v>
      </c>
      <c r="S34" s="2"/>
      <c r="T34" s="6">
        <v>13475.868999230788</v>
      </c>
      <c r="U34" s="2"/>
      <c r="V34" s="7">
        <f t="shared" si="18"/>
        <v>9.1795596814988709E-2</v>
      </c>
      <c r="W34" s="2"/>
      <c r="X34" s="6">
        <f t="shared" si="19"/>
        <v>2884.2210007692101</v>
      </c>
      <c r="Y34" s="2"/>
      <c r="Z34" s="7">
        <f t="shared" si="20"/>
        <v>0.2140285721784505</v>
      </c>
    </row>
    <row r="35" spans="1:26" s="24" customFormat="1" hidden="1" outlineLevel="2" x14ac:dyDescent="0.25">
      <c r="A35" s="27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3"/>
        <v>0</v>
      </c>
      <c r="G35" s="2"/>
      <c r="H35" s="6">
        <v>0</v>
      </c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/>
      <c r="Q35" s="2"/>
      <c r="R35" s="7">
        <f t="shared" si="17"/>
        <v>0</v>
      </c>
      <c r="S35" s="2"/>
      <c r="T35" s="6">
        <v>0</v>
      </c>
      <c r="U35" s="2"/>
      <c r="V35" s="7">
        <f t="shared" si="18"/>
        <v>0</v>
      </c>
      <c r="W35" s="2"/>
      <c r="X35" s="6">
        <f t="shared" si="19"/>
        <v>0</v>
      </c>
      <c r="Y35" s="2"/>
      <c r="Z35" s="7">
        <f t="shared" si="20"/>
        <v>0</v>
      </c>
    </row>
    <row r="36" spans="1:26" s="24" customFormat="1" hidden="1" outlineLevel="2" x14ac:dyDescent="0.25">
      <c r="A36" s="27"/>
      <c r="B36" s="11" t="str">
        <f>CONCATENATE("          ", "6117", " - ", "RETIREMENT STAFF HOURLY")</f>
        <v xml:space="preserve">          6117 - RETIREMENT STAFF HOURLY</v>
      </c>
      <c r="C36" s="11"/>
      <c r="D36" s="6">
        <v>1373.88</v>
      </c>
      <c r="E36" s="2"/>
      <c r="F36" s="7">
        <f t="shared" si="13"/>
        <v>2.5187077130886342E-2</v>
      </c>
      <c r="G36" s="2"/>
      <c r="H36" s="6"/>
      <c r="I36" s="2"/>
      <c r="J36" s="7">
        <f t="shared" si="14"/>
        <v>0</v>
      </c>
      <c r="K36" s="2"/>
      <c r="L36" s="6">
        <f t="shared" si="15"/>
        <v>1373.88</v>
      </c>
      <c r="M36" s="2"/>
      <c r="N36" s="7">
        <f t="shared" si="16"/>
        <v>0</v>
      </c>
      <c r="O36" s="11"/>
      <c r="P36" s="6">
        <v>3343.02</v>
      </c>
      <c r="Q36" s="2"/>
      <c r="R36" s="7">
        <f t="shared" si="17"/>
        <v>4.4663015356744197E-2</v>
      </c>
      <c r="S36" s="2"/>
      <c r="T36" s="6"/>
      <c r="U36" s="2"/>
      <c r="V36" s="7">
        <f t="shared" si="18"/>
        <v>0</v>
      </c>
      <c r="W36" s="2"/>
      <c r="X36" s="6">
        <f t="shared" si="19"/>
        <v>3343.02</v>
      </c>
      <c r="Y36" s="2"/>
      <c r="Z36" s="7">
        <f t="shared" si="20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>
        <v>8430.9699999999993</v>
      </c>
      <c r="E37" s="2"/>
      <c r="F37" s="7">
        <f t="shared" si="13"/>
        <v>0.15456334736526392</v>
      </c>
      <c r="G37" s="2"/>
      <c r="H37" s="6">
        <v>8280.2399538461614</v>
      </c>
      <c r="I37" s="2"/>
      <c r="J37" s="7">
        <f t="shared" si="14"/>
        <v>5.8119998552981451E-2</v>
      </c>
      <c r="K37" s="2"/>
      <c r="L37" s="6">
        <f t="shared" si="15"/>
        <v>150.73004615383797</v>
      </c>
      <c r="M37" s="2"/>
      <c r="N37" s="7">
        <f t="shared" si="16"/>
        <v>1.8203584315672403E-2</v>
      </c>
      <c r="O37" s="11"/>
      <c r="P37" s="6">
        <v>16443.419999999998</v>
      </c>
      <c r="Q37" s="2"/>
      <c r="R37" s="7">
        <f t="shared" si="17"/>
        <v>0.21968541019120275</v>
      </c>
      <c r="S37" s="2"/>
      <c r="T37" s="6">
        <v>18630.539896153849</v>
      </c>
      <c r="U37" s="2"/>
      <c r="V37" s="7">
        <f t="shared" si="18"/>
        <v>0.12690844121818934</v>
      </c>
      <c r="W37" s="2"/>
      <c r="X37" s="6">
        <f t="shared" si="19"/>
        <v>-2187.1198961538503</v>
      </c>
      <c r="Y37" s="2"/>
      <c r="Z37" s="7">
        <f t="shared" si="20"/>
        <v>-0.11739433791746243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>
        <v>5575.88</v>
      </c>
      <c r="E38" s="2"/>
      <c r="F38" s="7">
        <f t="shared" si="13"/>
        <v>0.10222153290867218</v>
      </c>
      <c r="G38" s="2"/>
      <c r="H38" s="6">
        <v>5584.6220815384604</v>
      </c>
      <c r="I38" s="2"/>
      <c r="J38" s="7">
        <f t="shared" si="14"/>
        <v>3.9199133009085972E-2</v>
      </c>
      <c r="K38" s="2"/>
      <c r="L38" s="6">
        <f t="shared" si="15"/>
        <v>-8.7420815384602975</v>
      </c>
      <c r="M38" s="2"/>
      <c r="N38" s="7">
        <f t="shared" si="16"/>
        <v>-1.5653846242093458E-3</v>
      </c>
      <c r="O38" s="11"/>
      <c r="P38" s="6">
        <v>11231.01</v>
      </c>
      <c r="Q38" s="2"/>
      <c r="R38" s="7">
        <f t="shared" si="17"/>
        <v>0.15004719448335566</v>
      </c>
      <c r="S38" s="2"/>
      <c r="T38" s="6">
        <v>11462.54800846153</v>
      </c>
      <c r="U38" s="2"/>
      <c r="V38" s="7">
        <f t="shared" si="18"/>
        <v>7.8081156437276686E-2</v>
      </c>
      <c r="W38" s="2"/>
      <c r="X38" s="6">
        <f t="shared" si="19"/>
        <v>-231.5380084615299</v>
      </c>
      <c r="Y38" s="2"/>
      <c r="Z38" s="7">
        <f t="shared" si="20"/>
        <v>-2.0199523551884889E-2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6">
        <v>2687.15</v>
      </c>
      <c r="E39" s="2"/>
      <c r="F39" s="7">
        <f t="shared" si="13"/>
        <v>4.9263002818485772E-2</v>
      </c>
      <c r="G39" s="2"/>
      <c r="H39" s="6">
        <v>4025</v>
      </c>
      <c r="I39" s="2"/>
      <c r="J39" s="7">
        <f t="shared" si="14"/>
        <v>2.8251958334503186E-2</v>
      </c>
      <c r="K39" s="2"/>
      <c r="L39" s="6">
        <f t="shared" si="15"/>
        <v>-1337.85</v>
      </c>
      <c r="M39" s="2"/>
      <c r="N39" s="7">
        <f t="shared" si="16"/>
        <v>-0.33238509316770182</v>
      </c>
      <c r="O39" s="11"/>
      <c r="P39" s="6">
        <v>5699.7</v>
      </c>
      <c r="Q39" s="2"/>
      <c r="R39" s="7">
        <f t="shared" si="17"/>
        <v>7.6148449195288959E-2</v>
      </c>
      <c r="S39" s="2"/>
      <c r="T39" s="6">
        <v>8050</v>
      </c>
      <c r="U39" s="2"/>
      <c r="V39" s="7">
        <f t="shared" si="18"/>
        <v>5.4835391647309661E-2</v>
      </c>
      <c r="W39" s="2"/>
      <c r="X39" s="6">
        <f t="shared" si="19"/>
        <v>-2350.3000000000002</v>
      </c>
      <c r="Y39" s="2"/>
      <c r="Z39" s="7">
        <f t="shared" si="20"/>
        <v>-0.29196273291925467</v>
      </c>
    </row>
    <row r="40" spans="1:26" s="29" customFormat="1" outlineLevel="1" collapsed="1" x14ac:dyDescent="0.25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118437.17</v>
      </c>
      <c r="E40" s="1"/>
      <c r="F40" s="5">
        <f t="shared" ref="F40:F50" si="21">IF(D$12=0,0,D40/D$12)</f>
        <v>2.1712858007641844</v>
      </c>
      <c r="G40" s="1"/>
      <c r="H40" s="1">
        <f>SUM(OSRRefH22_1x_0)</f>
        <v>157272.62581076921</v>
      </c>
      <c r="I40" s="1"/>
      <c r="J40" s="5">
        <f t="shared" ref="J40:J50" si="22">IF(H$12=0,0,H40/H$12)</f>
        <v>1.1039154463512453</v>
      </c>
      <c r="K40" s="1"/>
      <c r="L40" s="1">
        <f t="shared" ref="L40:L50" si="23">+D40-H40</f>
        <v>-38835.455810769214</v>
      </c>
      <c r="M40" s="1"/>
      <c r="N40" s="5">
        <f t="shared" ref="N40:N50" si="24">IF(H40=0,0,L40/H40)</f>
        <v>-0.24693080318692029</v>
      </c>
      <c r="O40" s="14"/>
      <c r="P40" s="1">
        <f>SUM(OSRRefP22_1x_0)</f>
        <v>241862.75</v>
      </c>
      <c r="Q40" s="1"/>
      <c r="R40" s="5">
        <f t="shared" ref="R40:R50" si="25">IF(P$12=0,0,P40/P$12)</f>
        <v>3.2313057407596673</v>
      </c>
      <c r="S40" s="1"/>
      <c r="T40" s="1">
        <f>SUM(OSRRefT22_1x_0)</f>
        <v>317988.53724923078</v>
      </c>
      <c r="U40" s="1"/>
      <c r="V40" s="5">
        <f t="shared" ref="V40:V50" si="26">IF(T$12=0,0,T40/T$12)</f>
        <v>2.1660901837784703</v>
      </c>
      <c r="W40" s="1"/>
      <c r="X40" s="1">
        <f t="shared" ref="X40:X50" si="27">+P40-T40</f>
        <v>-76125.78724923078</v>
      </c>
      <c r="Y40" s="1"/>
      <c r="Z40" s="5">
        <f t="shared" ref="Z40:Z50" si="28">IF(T40=0,0,X40/T40)</f>
        <v>-0.23939789750837923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6">
        <v>16445</v>
      </c>
      <c r="E41" s="2"/>
      <c r="F41" s="7">
        <f t="shared" si="21"/>
        <v>0.30148301410416184</v>
      </c>
      <c r="G41" s="2"/>
      <c r="H41" s="6">
        <v>9962.3076923076896</v>
      </c>
      <c r="I41" s="2"/>
      <c r="J41" s="7">
        <f t="shared" si="22"/>
        <v>6.9926633997162091E-2</v>
      </c>
      <c r="K41" s="2"/>
      <c r="L41" s="6">
        <f t="shared" si="23"/>
        <v>6482.6923076923104</v>
      </c>
      <c r="M41" s="2"/>
      <c r="N41" s="7">
        <f t="shared" si="24"/>
        <v>0.65072195197282112</v>
      </c>
      <c r="O41" s="11"/>
      <c r="P41" s="6">
        <v>38851.870000000003</v>
      </c>
      <c r="Q41" s="2"/>
      <c r="R41" s="7">
        <f t="shared" si="25"/>
        <v>0.51906409966085432</v>
      </c>
      <c r="S41" s="2"/>
      <c r="T41" s="6">
        <v>22415.19230769229</v>
      </c>
      <c r="U41" s="2"/>
      <c r="V41" s="7">
        <f t="shared" si="26"/>
        <v>0.15268892534684095</v>
      </c>
      <c r="W41" s="2"/>
      <c r="X41" s="6">
        <f t="shared" si="27"/>
        <v>16436.677692307712</v>
      </c>
      <c r="Y41" s="2"/>
      <c r="Z41" s="7">
        <f t="shared" si="28"/>
        <v>0.73328292109575555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>
        <v>42270.979999999996</v>
      </c>
      <c r="E42" s="2"/>
      <c r="F42" s="7">
        <f t="shared" si="21"/>
        <v>0.77494572572433829</v>
      </c>
      <c r="G42" s="2"/>
      <c r="H42" s="6">
        <v>52827.443538461535</v>
      </c>
      <c r="I42" s="2"/>
      <c r="J42" s="7">
        <f t="shared" si="22"/>
        <v>0.37080216987998382</v>
      </c>
      <c r="K42" s="2"/>
      <c r="L42" s="6">
        <f t="shared" si="23"/>
        <v>-10556.463538461539</v>
      </c>
      <c r="M42" s="2"/>
      <c r="N42" s="7">
        <f t="shared" si="24"/>
        <v>-0.19982915756231517</v>
      </c>
      <c r="O42" s="11"/>
      <c r="P42" s="6">
        <v>97606.48</v>
      </c>
      <c r="Q42" s="2"/>
      <c r="R42" s="7">
        <f t="shared" si="25"/>
        <v>1.3040304021985347</v>
      </c>
      <c r="S42" s="2"/>
      <c r="T42" s="6">
        <v>118861.74796153844</v>
      </c>
      <c r="U42" s="2"/>
      <c r="V42" s="7">
        <f t="shared" si="26"/>
        <v>0.80966838526146223</v>
      </c>
      <c r="W42" s="2"/>
      <c r="X42" s="6">
        <f t="shared" si="27"/>
        <v>-21255.26796153844</v>
      </c>
      <c r="Y42" s="2"/>
      <c r="Z42" s="7">
        <f t="shared" si="28"/>
        <v>-0.17882345099296595</v>
      </c>
    </row>
    <row r="43" spans="1:26" s="24" customFormat="1" hidden="1" outlineLevel="2" x14ac:dyDescent="0.25">
      <c r="A43" s="27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6">
        <v>46538.990000000005</v>
      </c>
      <c r="E44" s="2"/>
      <c r="F44" s="7">
        <f t="shared" si="21"/>
        <v>0.85319033010419276</v>
      </c>
      <c r="G44" s="2"/>
      <c r="H44" s="6">
        <v>69464.849919999993</v>
      </c>
      <c r="I44" s="2"/>
      <c r="J44" s="7">
        <f t="shared" si="22"/>
        <v>0.48758212314344268</v>
      </c>
      <c r="K44" s="2"/>
      <c r="L44" s="6">
        <f t="shared" si="23"/>
        <v>-22925.859919999988</v>
      </c>
      <c r="M44" s="2"/>
      <c r="N44" s="7">
        <f t="shared" si="24"/>
        <v>-0.33003540562461192</v>
      </c>
      <c r="O44" s="11"/>
      <c r="P44" s="6">
        <v>82471.199999999997</v>
      </c>
      <c r="Q44" s="2"/>
      <c r="R44" s="7">
        <f t="shared" si="25"/>
        <v>1.1018218473383712</v>
      </c>
      <c r="S44" s="2"/>
      <c r="T44" s="6">
        <v>149095.91232</v>
      </c>
      <c r="U44" s="2"/>
      <c r="V44" s="7">
        <f t="shared" si="26"/>
        <v>1.0156189745441169</v>
      </c>
      <c r="W44" s="2"/>
      <c r="X44" s="6">
        <f t="shared" si="27"/>
        <v>-66624.712320000006</v>
      </c>
      <c r="Y44" s="2"/>
      <c r="Z44" s="7">
        <f t="shared" si="28"/>
        <v>-0.44685807466676497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>
        <v>1108.2</v>
      </c>
      <c r="E45" s="2"/>
      <c r="F45" s="7">
        <f t="shared" si="21"/>
        <v>2.0316416918834429E-2</v>
      </c>
      <c r="G45" s="2"/>
      <c r="H45" s="6">
        <v>9140.0946599999988</v>
      </c>
      <c r="I45" s="2"/>
      <c r="J45" s="7">
        <f t="shared" si="22"/>
        <v>6.4155421989499389E-2</v>
      </c>
      <c r="K45" s="2"/>
      <c r="L45" s="6">
        <f t="shared" si="23"/>
        <v>-8031.894659999999</v>
      </c>
      <c r="M45" s="2"/>
      <c r="N45" s="7">
        <f t="shared" si="24"/>
        <v>-0.87875399093514417</v>
      </c>
      <c r="O45" s="11"/>
      <c r="P45" s="6">
        <v>1108.2</v>
      </c>
      <c r="Q45" s="2"/>
      <c r="R45" s="7">
        <f t="shared" si="25"/>
        <v>1.4805640893067922E-2</v>
      </c>
      <c r="S45" s="2"/>
      <c r="T45" s="6">
        <v>10804.614659999999</v>
      </c>
      <c r="U45" s="2"/>
      <c r="V45" s="7">
        <f t="shared" si="26"/>
        <v>7.3599413227250124E-2</v>
      </c>
      <c r="W45" s="2"/>
      <c r="X45" s="6">
        <f t="shared" si="27"/>
        <v>-9696.4146599999985</v>
      </c>
      <c r="Y45" s="2"/>
      <c r="Z45" s="7">
        <f t="shared" si="28"/>
        <v>-0.89743271418066461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>
        <v>11457.67</v>
      </c>
      <c r="E47" s="2"/>
      <c r="F47" s="7">
        <f t="shared" si="21"/>
        <v>0.21005125486231876</v>
      </c>
      <c r="G47" s="2"/>
      <c r="H47" s="6">
        <v>15373.529999999999</v>
      </c>
      <c r="I47" s="2"/>
      <c r="J47" s="7">
        <f t="shared" si="22"/>
        <v>0.10790865317123845</v>
      </c>
      <c r="K47" s="2"/>
      <c r="L47" s="6">
        <f t="shared" si="23"/>
        <v>-3915.8599999999988</v>
      </c>
      <c r="M47" s="2"/>
      <c r="N47" s="7">
        <f t="shared" si="24"/>
        <v>-0.25471443448576864</v>
      </c>
      <c r="O47" s="11"/>
      <c r="P47" s="6">
        <v>21208.670000000002</v>
      </c>
      <c r="Q47" s="2"/>
      <c r="R47" s="7">
        <f t="shared" si="25"/>
        <v>0.28334953243059274</v>
      </c>
      <c r="S47" s="2"/>
      <c r="T47" s="6">
        <v>16306.670000000002</v>
      </c>
      <c r="U47" s="2"/>
      <c r="V47" s="7">
        <f t="shared" si="26"/>
        <v>0.11107858831222796</v>
      </c>
      <c r="W47" s="2"/>
      <c r="X47" s="6">
        <f t="shared" si="27"/>
        <v>4902</v>
      </c>
      <c r="Y47" s="2"/>
      <c r="Z47" s="7">
        <f t="shared" si="28"/>
        <v>0.30061318466615189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6">
        <v>616.33000000000004</v>
      </c>
      <c r="E48" s="2"/>
      <c r="F48" s="7">
        <f t="shared" si="21"/>
        <v>1.1299059050338589E-2</v>
      </c>
      <c r="G48" s="2"/>
      <c r="H48" s="6">
        <v>504.4</v>
      </c>
      <c r="I48" s="2"/>
      <c r="J48" s="7">
        <f t="shared" si="22"/>
        <v>3.5404441699188587E-3</v>
      </c>
      <c r="K48" s="2"/>
      <c r="L48" s="6">
        <f t="shared" si="23"/>
        <v>111.93000000000006</v>
      </c>
      <c r="M48" s="2"/>
      <c r="N48" s="7">
        <f t="shared" si="24"/>
        <v>0.22190721649484549</v>
      </c>
      <c r="O48" s="11"/>
      <c r="P48" s="6">
        <v>616.33000000000004</v>
      </c>
      <c r="Q48" s="2"/>
      <c r="R48" s="7">
        <f t="shared" si="25"/>
        <v>8.2342182382463026E-3</v>
      </c>
      <c r="S48" s="2"/>
      <c r="T48" s="6">
        <v>504.4</v>
      </c>
      <c r="U48" s="2"/>
      <c r="V48" s="7">
        <f t="shared" si="26"/>
        <v>3.4358970865718003E-3</v>
      </c>
      <c r="W48" s="2"/>
      <c r="X48" s="6">
        <f t="shared" si="27"/>
        <v>111.93000000000006</v>
      </c>
      <c r="Y48" s="2"/>
      <c r="Z48" s="7">
        <f t="shared" si="28"/>
        <v>0.22190721649484549</v>
      </c>
    </row>
    <row r="49" spans="1:26" s="24" customFormat="1" hidden="1" outlineLevel="2" x14ac:dyDescent="0.25">
      <c r="A49" s="27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7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9" customFormat="1" outlineLevel="1" collapsed="1" x14ac:dyDescent="0.25">
      <c r="A51" s="28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704.51</v>
      </c>
      <c r="E51" s="1"/>
      <c r="F51" s="5">
        <f t="shared" ref="F51:F60" si="29">IF(D$12=0,0,D51/D$12)</f>
        <v>1.2915645987626821E-2</v>
      </c>
      <c r="G51" s="1"/>
      <c r="H51" s="1">
        <f>SUM(OSRRefH22_2x_0)</f>
        <v>1998</v>
      </c>
      <c r="I51" s="1"/>
      <c r="J51" s="5">
        <f t="shared" ref="J51:J60" si="30">IF(H$12=0,0,H51/H$12)</f>
        <v>1.402420192604655E-2</v>
      </c>
      <c r="K51" s="1"/>
      <c r="L51" s="1">
        <f t="shared" ref="L51:L60" si="31">+D51-H51</f>
        <v>-1293.49</v>
      </c>
      <c r="M51" s="1"/>
      <c r="N51" s="5">
        <f t="shared" ref="N51:N60" si="32">IF(H51=0,0,L51/H51)</f>
        <v>-0.64739239239239244</v>
      </c>
      <c r="O51" s="14"/>
      <c r="P51" s="1">
        <f>SUM(OSRRefP22_2x_0)</f>
        <v>1474.97</v>
      </c>
      <c r="Q51" s="1"/>
      <c r="R51" s="5">
        <f t="shared" ref="R51:R60" si="33">IF(P$12=0,0,P51/P$12)</f>
        <v>1.9705717513127947E-2</v>
      </c>
      <c r="S51" s="1"/>
      <c r="T51" s="1">
        <f>SUM(OSRRefT22_2x_0)</f>
        <v>4338</v>
      </c>
      <c r="U51" s="1"/>
      <c r="V51" s="5">
        <f t="shared" ref="V51:V60" si="34">IF(T$12=0,0,T51/T$12)</f>
        <v>2.9549804840500536E-2</v>
      </c>
      <c r="W51" s="1"/>
      <c r="X51" s="1">
        <f t="shared" ref="X51:X60" si="35">+P51-T51</f>
        <v>-2863.0299999999997</v>
      </c>
      <c r="Y51" s="1"/>
      <c r="Z51" s="5">
        <f t="shared" ref="Z51:Z60" si="36">IF(T51=0,0,X51/T51)</f>
        <v>-0.65998847395112947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>
        <v>704.51</v>
      </c>
      <c r="E52" s="2"/>
      <c r="F52" s="7">
        <f t="shared" si="29"/>
        <v>1.2915645987626821E-2</v>
      </c>
      <c r="G52" s="2"/>
      <c r="H52" s="6">
        <v>1998</v>
      </c>
      <c r="I52" s="2"/>
      <c r="J52" s="7">
        <f t="shared" si="30"/>
        <v>1.402420192604655E-2</v>
      </c>
      <c r="K52" s="2"/>
      <c r="L52" s="6">
        <f t="shared" si="31"/>
        <v>-1293.49</v>
      </c>
      <c r="M52" s="2"/>
      <c r="N52" s="7">
        <f t="shared" si="32"/>
        <v>-0.64739239239239244</v>
      </c>
      <c r="O52" s="11"/>
      <c r="P52" s="6">
        <v>1474.97</v>
      </c>
      <c r="Q52" s="2"/>
      <c r="R52" s="7">
        <f t="shared" si="33"/>
        <v>1.9705717513127947E-2</v>
      </c>
      <c r="S52" s="2"/>
      <c r="T52" s="6">
        <v>4338</v>
      </c>
      <c r="U52" s="2"/>
      <c r="V52" s="7">
        <f t="shared" si="34"/>
        <v>2.9549804840500536E-2</v>
      </c>
      <c r="W52" s="2"/>
      <c r="X52" s="6">
        <f t="shared" si="35"/>
        <v>-2863.0299999999997</v>
      </c>
      <c r="Y52" s="2"/>
      <c r="Z52" s="7">
        <f t="shared" si="36"/>
        <v>-0.65998847395112947</v>
      </c>
    </row>
    <row r="53" spans="1:26" s="29" customFormat="1" outlineLevel="1" collapsed="1" x14ac:dyDescent="0.25">
      <c r="A53" s="28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31.86</v>
      </c>
      <c r="E53" s="1"/>
      <c r="F53" s="5">
        <f t="shared" si="29"/>
        <v>5.8408323681110349E-4</v>
      </c>
      <c r="G53" s="1"/>
      <c r="H53" s="1">
        <f>SUM(OSRRefH22_3x_0)</f>
        <v>46</v>
      </c>
      <c r="I53" s="1"/>
      <c r="J53" s="5">
        <f t="shared" si="30"/>
        <v>3.2287952382289357E-4</v>
      </c>
      <c r="K53" s="1"/>
      <c r="L53" s="1">
        <f t="shared" si="31"/>
        <v>-14.14</v>
      </c>
      <c r="M53" s="1"/>
      <c r="N53" s="5">
        <f t="shared" si="32"/>
        <v>-0.30739130434782608</v>
      </c>
      <c r="O53" s="14"/>
      <c r="P53" s="1">
        <f>SUM(OSRRefP22_3x_0)</f>
        <v>31.86</v>
      </c>
      <c r="Q53" s="1"/>
      <c r="R53" s="5">
        <f t="shared" si="33"/>
        <v>4.2565215561554226E-4</v>
      </c>
      <c r="S53" s="1"/>
      <c r="T53" s="1">
        <f>SUM(OSRRefT22_3x_0)</f>
        <v>66</v>
      </c>
      <c r="U53" s="1"/>
      <c r="V53" s="5">
        <f t="shared" si="34"/>
        <v>4.4958209300899847E-4</v>
      </c>
      <c r="W53" s="1"/>
      <c r="X53" s="1">
        <f t="shared" si="35"/>
        <v>-34.14</v>
      </c>
      <c r="Y53" s="1"/>
      <c r="Z53" s="5">
        <f t="shared" si="36"/>
        <v>-0.51727272727272733</v>
      </c>
    </row>
    <row r="54" spans="1:26" s="24" customFormat="1" hidden="1" outlineLevel="2" x14ac:dyDescent="0.25">
      <c r="A54" s="27"/>
      <c r="B54" s="11" t="str">
        <f>CONCATENATE("          ", "6272", " - ", "CASH (OVER/SHORT)")</f>
        <v xml:space="preserve">          6272 - CASH (OVER/SHORT)</v>
      </c>
      <c r="C54" s="11"/>
      <c r="D54" s="6">
        <v>31.86</v>
      </c>
      <c r="E54" s="2"/>
      <c r="F54" s="7">
        <f t="shared" si="29"/>
        <v>5.8408323681110349E-4</v>
      </c>
      <c r="G54" s="2"/>
      <c r="H54" s="6">
        <v>46</v>
      </c>
      <c r="I54" s="2"/>
      <c r="J54" s="7">
        <f t="shared" si="30"/>
        <v>3.2287952382289357E-4</v>
      </c>
      <c r="K54" s="2"/>
      <c r="L54" s="6">
        <f t="shared" si="31"/>
        <v>-14.14</v>
      </c>
      <c r="M54" s="2"/>
      <c r="N54" s="7">
        <f t="shared" si="32"/>
        <v>-0.30739130434782608</v>
      </c>
      <c r="O54" s="11"/>
      <c r="P54" s="6">
        <v>31.86</v>
      </c>
      <c r="Q54" s="2"/>
      <c r="R54" s="7">
        <f t="shared" si="33"/>
        <v>4.2565215561554226E-4</v>
      </c>
      <c r="S54" s="2"/>
      <c r="T54" s="6">
        <v>66</v>
      </c>
      <c r="U54" s="2"/>
      <c r="V54" s="7">
        <f t="shared" si="34"/>
        <v>4.4958209300899847E-4</v>
      </c>
      <c r="W54" s="2"/>
      <c r="X54" s="6">
        <f t="shared" si="35"/>
        <v>-34.14</v>
      </c>
      <c r="Y54" s="2"/>
      <c r="Z54" s="7">
        <f t="shared" si="36"/>
        <v>-0.51727272727272733</v>
      </c>
    </row>
    <row r="55" spans="1:26" s="29" customFormat="1" outlineLevel="1" collapsed="1" x14ac:dyDescent="0.25">
      <c r="A55" s="28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333.07</v>
      </c>
      <c r="E55" s="1"/>
      <c r="F55" s="5">
        <f t="shared" si="29"/>
        <v>6.1061080880312063E-3</v>
      </c>
      <c r="G55" s="1"/>
      <c r="H55" s="1">
        <f>SUM(OSRRefH22_4x_0)</f>
        <v>2011</v>
      </c>
      <c r="I55" s="1"/>
      <c r="J55" s="5">
        <f t="shared" si="30"/>
        <v>1.4115450487126934E-2</v>
      </c>
      <c r="K55" s="1"/>
      <c r="L55" s="1">
        <f t="shared" si="31"/>
        <v>-1677.93</v>
      </c>
      <c r="M55" s="1"/>
      <c r="N55" s="5">
        <f t="shared" si="32"/>
        <v>-0.83437593237195429</v>
      </c>
      <c r="O55" s="14"/>
      <c r="P55" s="1">
        <f>SUM(OSRRefP22_4x_0)</f>
        <v>615.89</v>
      </c>
      <c r="Q55" s="1"/>
      <c r="R55" s="5">
        <f t="shared" si="33"/>
        <v>8.2283398029521764E-3</v>
      </c>
      <c r="S55" s="1"/>
      <c r="T55" s="1">
        <f>SUM(OSRRefT22_4x_0)</f>
        <v>3113</v>
      </c>
      <c r="U55" s="1"/>
      <c r="V55" s="5">
        <f t="shared" si="34"/>
        <v>2.1205288720257759E-2</v>
      </c>
      <c r="W55" s="1"/>
      <c r="X55" s="1">
        <f t="shared" si="35"/>
        <v>-2497.11</v>
      </c>
      <c r="Y55" s="1"/>
      <c r="Z55" s="5">
        <f t="shared" si="36"/>
        <v>-0.80215547703180212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333.07</v>
      </c>
      <c r="E56" s="2"/>
      <c r="F56" s="7">
        <f t="shared" si="29"/>
        <v>6.1061080880312063E-3</v>
      </c>
      <c r="G56" s="2"/>
      <c r="H56" s="6">
        <v>2011</v>
      </c>
      <c r="I56" s="2"/>
      <c r="J56" s="7">
        <f t="shared" si="30"/>
        <v>1.4115450487126934E-2</v>
      </c>
      <c r="K56" s="2"/>
      <c r="L56" s="6">
        <f t="shared" si="31"/>
        <v>-1677.93</v>
      </c>
      <c r="M56" s="2"/>
      <c r="N56" s="7">
        <f t="shared" si="32"/>
        <v>-0.83437593237195429</v>
      </c>
      <c r="O56" s="11"/>
      <c r="P56" s="6">
        <v>615.89</v>
      </c>
      <c r="Q56" s="2"/>
      <c r="R56" s="7">
        <f t="shared" si="33"/>
        <v>8.2283398029521764E-3</v>
      </c>
      <c r="S56" s="2"/>
      <c r="T56" s="6">
        <v>3113</v>
      </c>
      <c r="U56" s="2"/>
      <c r="V56" s="7">
        <f t="shared" si="34"/>
        <v>2.1205288720257759E-2</v>
      </c>
      <c r="W56" s="2"/>
      <c r="X56" s="6">
        <f t="shared" si="35"/>
        <v>-2497.11</v>
      </c>
      <c r="Y56" s="2"/>
      <c r="Z56" s="7">
        <f t="shared" si="36"/>
        <v>-0.80215547703180212</v>
      </c>
    </row>
    <row r="57" spans="1:26" s="29" customFormat="1" outlineLevel="1" collapsed="1" x14ac:dyDescent="0.25">
      <c r="A57" s="28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38466.019999999997</v>
      </c>
      <c r="E57" s="1"/>
      <c r="F57" s="5">
        <f t="shared" si="29"/>
        <v>0.70519012771000122</v>
      </c>
      <c r="G57" s="1"/>
      <c r="H57" s="1">
        <f>SUM(OSRRefH22_5x_0)</f>
        <v>38779</v>
      </c>
      <c r="I57" s="1"/>
      <c r="J57" s="5">
        <f t="shared" si="30"/>
        <v>0.27219445770278239</v>
      </c>
      <c r="K57" s="1"/>
      <c r="L57" s="1">
        <f t="shared" si="31"/>
        <v>-312.9800000000032</v>
      </c>
      <c r="M57" s="1"/>
      <c r="N57" s="5">
        <f t="shared" si="32"/>
        <v>-8.0708630960056524E-3</v>
      </c>
      <c r="O57" s="14"/>
      <c r="P57" s="1">
        <f>SUM(OSRRefP22_5x_0)</f>
        <v>76235.05</v>
      </c>
      <c r="Q57" s="1"/>
      <c r="R57" s="5">
        <f t="shared" si="33"/>
        <v>1.0185063831123242</v>
      </c>
      <c r="S57" s="1"/>
      <c r="T57" s="1">
        <f>SUM(OSRRefT22_5x_0)</f>
        <v>77558</v>
      </c>
      <c r="U57" s="1"/>
      <c r="V57" s="5">
        <f t="shared" si="34"/>
        <v>0.52831345408472574</v>
      </c>
      <c r="W57" s="1"/>
      <c r="X57" s="1">
        <f t="shared" si="35"/>
        <v>-1322.9499999999971</v>
      </c>
      <c r="Y57" s="1"/>
      <c r="Z57" s="5">
        <f t="shared" si="36"/>
        <v>-1.7057556925139859E-2</v>
      </c>
    </row>
    <row r="58" spans="1:26" s="24" customFormat="1" hidden="1" outlineLevel="2" x14ac:dyDescent="0.25">
      <c r="A58" s="27"/>
      <c r="B58" s="11" t="str">
        <f>CONCATENATE("          ", "6321", " - ", "BUILDING DEPRECIATION")</f>
        <v xml:space="preserve">          6321 - BUILDING DEPRECIATION</v>
      </c>
      <c r="C58" s="11"/>
      <c r="D58" s="6">
        <v>23844.89</v>
      </c>
      <c r="E58" s="2"/>
      <c r="F58" s="7">
        <f t="shared" si="29"/>
        <v>0.43714377064044924</v>
      </c>
      <c r="G58" s="2"/>
      <c r="H58" s="6"/>
      <c r="I58" s="2"/>
      <c r="J58" s="7">
        <f t="shared" si="30"/>
        <v>0</v>
      </c>
      <c r="K58" s="2"/>
      <c r="L58" s="6">
        <f t="shared" si="31"/>
        <v>23844.89</v>
      </c>
      <c r="M58" s="2"/>
      <c r="N58" s="7">
        <f t="shared" si="32"/>
        <v>0</v>
      </c>
      <c r="O58" s="11"/>
      <c r="P58" s="6">
        <v>47689.78</v>
      </c>
      <c r="Q58" s="2"/>
      <c r="R58" s="7">
        <f t="shared" si="33"/>
        <v>0.63713928618427418</v>
      </c>
      <c r="S58" s="2"/>
      <c r="T58" s="6"/>
      <c r="U58" s="2"/>
      <c r="V58" s="7">
        <f t="shared" si="34"/>
        <v>0</v>
      </c>
      <c r="W58" s="2"/>
      <c r="X58" s="6">
        <f t="shared" si="35"/>
        <v>47689.78</v>
      </c>
      <c r="Y58" s="2"/>
      <c r="Z58" s="7">
        <f t="shared" si="36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14621.13</v>
      </c>
      <c r="E59" s="2"/>
      <c r="F59" s="7">
        <f t="shared" si="29"/>
        <v>0.26804635706955204</v>
      </c>
      <c r="G59" s="2"/>
      <c r="H59" s="6">
        <v>38229</v>
      </c>
      <c r="I59" s="2"/>
      <c r="J59" s="7">
        <f t="shared" si="30"/>
        <v>0.26833394165707386</v>
      </c>
      <c r="K59" s="2"/>
      <c r="L59" s="6">
        <f t="shared" si="31"/>
        <v>-23607.870000000003</v>
      </c>
      <c r="M59" s="2"/>
      <c r="N59" s="7">
        <f t="shared" si="32"/>
        <v>-0.61753825629757519</v>
      </c>
      <c r="O59" s="11"/>
      <c r="P59" s="6">
        <v>28545.27</v>
      </c>
      <c r="Q59" s="2"/>
      <c r="R59" s="7">
        <f t="shared" si="33"/>
        <v>0.38136709692804993</v>
      </c>
      <c r="S59" s="2"/>
      <c r="T59" s="6">
        <v>76458</v>
      </c>
      <c r="U59" s="2"/>
      <c r="V59" s="7">
        <f t="shared" si="34"/>
        <v>0.52082041920124245</v>
      </c>
      <c r="W59" s="2"/>
      <c r="X59" s="6">
        <f t="shared" si="35"/>
        <v>-47912.729999999996</v>
      </c>
      <c r="Y59" s="2"/>
      <c r="Z59" s="7">
        <f t="shared" si="36"/>
        <v>-0.62665424154437721</v>
      </c>
    </row>
    <row r="60" spans="1:26" s="24" customFormat="1" hidden="1" outlineLevel="2" x14ac:dyDescent="0.25">
      <c r="A60" s="27"/>
      <c r="B60" s="11" t="str">
        <f>CONCATENATE("          ", "6326", " - ", "VEHICLES DEPRECIATION EXPENSE")</f>
        <v xml:space="preserve">          6326 - VEHICLES DEPRECIATION EXPENSE</v>
      </c>
      <c r="C60" s="11"/>
      <c r="D60" s="6"/>
      <c r="E60" s="2"/>
      <c r="F60" s="7">
        <f t="shared" si="29"/>
        <v>0</v>
      </c>
      <c r="G60" s="2"/>
      <c r="H60" s="6">
        <v>550</v>
      </c>
      <c r="I60" s="2"/>
      <c r="J60" s="7">
        <f t="shared" si="30"/>
        <v>3.8605160457085099E-3</v>
      </c>
      <c r="K60" s="2"/>
      <c r="L60" s="6">
        <f t="shared" si="31"/>
        <v>-550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1100</v>
      </c>
      <c r="U60" s="2"/>
      <c r="V60" s="7">
        <f t="shared" si="34"/>
        <v>7.4930348834833073E-3</v>
      </c>
      <c r="W60" s="2"/>
      <c r="X60" s="6">
        <f t="shared" si="35"/>
        <v>-1100</v>
      </c>
      <c r="Y60" s="2"/>
      <c r="Z60" s="7">
        <f t="shared" si="36"/>
        <v>-1</v>
      </c>
    </row>
    <row r="61" spans="1:26" s="29" customFormat="1" outlineLevel="1" collapsed="1" x14ac:dyDescent="0.25">
      <c r="A61" s="28"/>
      <c r="B61" s="14" t="str">
        <f>CONCATENATE("     ","Donations                                         ")</f>
        <v xml:space="preserve">     Donations                                         </v>
      </c>
      <c r="C61" s="14"/>
      <c r="D61" s="1">
        <f>SUM(OSRRefD22_6x_0)</f>
        <v>2222.02</v>
      </c>
      <c r="E61" s="1"/>
      <c r="F61" s="5">
        <f t="shared" ref="F61:F80" si="37">IF(D$12=0,0,D61/D$12)</f>
        <v>4.0735864214030387E-2</v>
      </c>
      <c r="G61" s="1"/>
      <c r="H61" s="1">
        <f>SUM(OSRRefH22_6x_0)</f>
        <v>10773</v>
      </c>
      <c r="I61" s="1"/>
      <c r="J61" s="5">
        <f t="shared" ref="J61:J80" si="38">IF(H$12=0,0,H61/H$12)</f>
        <v>7.5616980655305047E-2</v>
      </c>
      <c r="K61" s="1"/>
      <c r="L61" s="1">
        <f t="shared" ref="L61:L80" si="39">+D61-H61</f>
        <v>-8550.98</v>
      </c>
      <c r="M61" s="1"/>
      <c r="N61" s="5">
        <f t="shared" ref="N61:N80" si="40">IF(H61=0,0,L61/H61)</f>
        <v>-0.79374176181193723</v>
      </c>
      <c r="O61" s="14"/>
      <c r="P61" s="1">
        <f>SUM(OSRRefP22_6x_0)</f>
        <v>2222.02</v>
      </c>
      <c r="Q61" s="1"/>
      <c r="R61" s="5">
        <f t="shared" ref="R61:R80" si="41">IF(P$12=0,0,P61/P$12)</f>
        <v>2.9686365436938082E-2</v>
      </c>
      <c r="S61" s="1"/>
      <c r="T61" s="1">
        <f>SUM(OSRRefT22_6x_0)</f>
        <v>10773</v>
      </c>
      <c r="U61" s="1"/>
      <c r="V61" s="5">
        <f t="shared" ref="V61:V80" si="42">IF(T$12=0,0,T61/T$12)</f>
        <v>7.3384058908877878E-2</v>
      </c>
      <c r="W61" s="1"/>
      <c r="X61" s="1">
        <f t="shared" ref="X61:X80" si="43">+P61-T61</f>
        <v>-8550.98</v>
      </c>
      <c r="Y61" s="1"/>
      <c r="Z61" s="5">
        <f t="shared" ref="Z61:Z80" si="44">IF(T61=0,0,X61/T61)</f>
        <v>-0.79374176181193723</v>
      </c>
    </row>
    <row r="62" spans="1:26" s="24" customFormat="1" hidden="1" outlineLevel="2" x14ac:dyDescent="0.25">
      <c r="A62" s="27"/>
      <c r="B62" s="11" t="str">
        <f>CONCATENATE("          ", "6399", " - ", "DONATION-ON CAMPUS")</f>
        <v xml:space="preserve">          6399 - DONATION-ON CAMPUS</v>
      </c>
      <c r="C62" s="11"/>
      <c r="D62" s="6">
        <v>2222.02</v>
      </c>
      <c r="E62" s="2"/>
      <c r="F62" s="7">
        <f t="shared" si="37"/>
        <v>4.0735864214030387E-2</v>
      </c>
      <c r="G62" s="2"/>
      <c r="H62" s="6">
        <v>10773</v>
      </c>
      <c r="I62" s="2"/>
      <c r="J62" s="7">
        <f t="shared" si="38"/>
        <v>7.5616980655305047E-2</v>
      </c>
      <c r="K62" s="2"/>
      <c r="L62" s="6">
        <f t="shared" si="39"/>
        <v>-8550.98</v>
      </c>
      <c r="M62" s="2"/>
      <c r="N62" s="7">
        <f t="shared" si="40"/>
        <v>-0.79374176181193723</v>
      </c>
      <c r="O62" s="11"/>
      <c r="P62" s="6">
        <v>2222.02</v>
      </c>
      <c r="Q62" s="2"/>
      <c r="R62" s="7">
        <f t="shared" si="41"/>
        <v>2.9686365436938082E-2</v>
      </c>
      <c r="S62" s="2"/>
      <c r="T62" s="6">
        <v>10773</v>
      </c>
      <c r="U62" s="2"/>
      <c r="V62" s="7">
        <f t="shared" si="42"/>
        <v>7.3384058908877878E-2</v>
      </c>
      <c r="W62" s="2"/>
      <c r="X62" s="6">
        <f t="shared" si="43"/>
        <v>-8550.98</v>
      </c>
      <c r="Y62" s="2"/>
      <c r="Z62" s="7">
        <f t="shared" si="44"/>
        <v>-0.79374176181193723</v>
      </c>
    </row>
    <row r="63" spans="1:26" s="29" customFormat="1" outlineLevel="1" collapsed="1" x14ac:dyDescent="0.25">
      <c r="A63" s="28"/>
      <c r="B63" s="14" t="str">
        <f>CONCATENATE("     ","Employees' Appreciation                           ")</f>
        <v xml:space="preserve">     Employees' Appreciation                           </v>
      </c>
      <c r="C63" s="14"/>
      <c r="D63" s="1">
        <f>SUM(OSRRefD22_7x_0)</f>
        <v>0</v>
      </c>
      <c r="E63" s="1"/>
      <c r="F63" s="5">
        <f t="shared" si="37"/>
        <v>0</v>
      </c>
      <c r="G63" s="1"/>
      <c r="H63" s="1">
        <f>SUM(OSRRefH22_7x_0)</f>
        <v>300</v>
      </c>
      <c r="I63" s="1"/>
      <c r="J63" s="5">
        <f t="shared" si="38"/>
        <v>2.1057360249319146E-3</v>
      </c>
      <c r="K63" s="1"/>
      <c r="L63" s="1">
        <f t="shared" si="39"/>
        <v>-300</v>
      </c>
      <c r="M63" s="1"/>
      <c r="N63" s="5">
        <f t="shared" si="40"/>
        <v>-1</v>
      </c>
      <c r="O63" s="14"/>
      <c r="P63" s="1">
        <f>SUM(OSRRefP22_7x_0)</f>
        <v>0</v>
      </c>
      <c r="Q63" s="1"/>
      <c r="R63" s="5">
        <f t="shared" si="41"/>
        <v>0</v>
      </c>
      <c r="S63" s="1"/>
      <c r="T63" s="1">
        <f>SUM(OSRRefT22_7x_0)</f>
        <v>400</v>
      </c>
      <c r="U63" s="1"/>
      <c r="V63" s="5">
        <f t="shared" si="42"/>
        <v>2.7247399576302935E-3</v>
      </c>
      <c r="W63" s="1"/>
      <c r="X63" s="1">
        <f t="shared" si="43"/>
        <v>-400</v>
      </c>
      <c r="Y63" s="1"/>
      <c r="Z63" s="5">
        <f t="shared" si="44"/>
        <v>-1</v>
      </c>
    </row>
    <row r="64" spans="1:26" s="24" customFormat="1" hidden="1" outlineLevel="2" x14ac:dyDescent="0.25">
      <c r="A64" s="27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37"/>
        <v>0</v>
      </c>
      <c r="G64" s="2"/>
      <c r="H64" s="6">
        <v>300</v>
      </c>
      <c r="I64" s="2"/>
      <c r="J64" s="7">
        <f t="shared" si="38"/>
        <v>2.1057360249319146E-3</v>
      </c>
      <c r="K64" s="2"/>
      <c r="L64" s="6">
        <f t="shared" si="39"/>
        <v>-300</v>
      </c>
      <c r="M64" s="2"/>
      <c r="N64" s="7">
        <f t="shared" si="40"/>
        <v>-1</v>
      </c>
      <c r="O64" s="11"/>
      <c r="P64" s="6"/>
      <c r="Q64" s="2"/>
      <c r="R64" s="7">
        <f t="shared" si="41"/>
        <v>0</v>
      </c>
      <c r="S64" s="2"/>
      <c r="T64" s="6">
        <v>400</v>
      </c>
      <c r="U64" s="2"/>
      <c r="V64" s="7">
        <f t="shared" si="42"/>
        <v>2.7247399576302935E-3</v>
      </c>
      <c r="W64" s="2"/>
      <c r="X64" s="6">
        <f t="shared" si="43"/>
        <v>-400</v>
      </c>
      <c r="Y64" s="2"/>
      <c r="Z64" s="7">
        <f t="shared" si="44"/>
        <v>-1</v>
      </c>
    </row>
    <row r="65" spans="1:26" s="29" customFormat="1" outlineLevel="1" collapsed="1" x14ac:dyDescent="0.25">
      <c r="A65" s="28"/>
      <c r="B65" s="14" t="str">
        <f>CONCATENATE("     ","Equipment Rental                                  ")</f>
        <v xml:space="preserve">     Equipment Rental                                  </v>
      </c>
      <c r="C65" s="14"/>
      <c r="D65" s="1">
        <f>SUM(OSRRefD22_8x_0)</f>
        <v>839.01</v>
      </c>
      <c r="E65" s="1"/>
      <c r="F65" s="5">
        <f t="shared" si="37"/>
        <v>1.5381408553574512E-2</v>
      </c>
      <c r="G65" s="1"/>
      <c r="H65" s="1">
        <f>SUM(OSRRefH22_8x_0)</f>
        <v>1044.333333333333</v>
      </c>
      <c r="I65" s="1"/>
      <c r="J65" s="5">
        <f t="shared" si="38"/>
        <v>7.3303010734574294E-3</v>
      </c>
      <c r="K65" s="1"/>
      <c r="L65" s="1">
        <f t="shared" si="39"/>
        <v>-205.32333333333304</v>
      </c>
      <c r="M65" s="1"/>
      <c r="N65" s="5">
        <f t="shared" si="40"/>
        <v>-0.19660708586019768</v>
      </c>
      <c r="O65" s="14"/>
      <c r="P65" s="1">
        <f>SUM(OSRRefP22_8x_0)</f>
        <v>2089.5100000000002</v>
      </c>
      <c r="Q65" s="1"/>
      <c r="R65" s="5">
        <f t="shared" si="41"/>
        <v>2.7916021207791332E-2</v>
      </c>
      <c r="S65" s="1"/>
      <c r="T65" s="1">
        <f>SUM(OSRRefT22_8x_0)</f>
        <v>2088.6666666666661</v>
      </c>
      <c r="U65" s="1"/>
      <c r="V65" s="5">
        <f t="shared" si="42"/>
        <v>1.4227683812092846E-2</v>
      </c>
      <c r="W65" s="1"/>
      <c r="X65" s="1">
        <f t="shared" si="43"/>
        <v>0.84333333333415794</v>
      </c>
      <c r="Y65" s="1"/>
      <c r="Z65" s="5">
        <f t="shared" si="44"/>
        <v>4.0376635812359952E-4</v>
      </c>
    </row>
    <row r="66" spans="1:26" s="24" customFormat="1" hidden="1" outlineLevel="2" x14ac:dyDescent="0.25">
      <c r="A66" s="27"/>
      <c r="B66" s="11" t="str">
        <f>CONCATENATE("          ", "6351", " - ", "EQUIPMENT RENTAL")</f>
        <v xml:space="preserve">          6351 - EQUIPMENT RENTAL</v>
      </c>
      <c r="C66" s="11"/>
      <c r="D66" s="6">
        <v>839.01</v>
      </c>
      <c r="E66" s="2"/>
      <c r="F66" s="7">
        <f t="shared" si="37"/>
        <v>1.5381408553574512E-2</v>
      </c>
      <c r="G66" s="2"/>
      <c r="H66" s="6">
        <v>1044.333333333333</v>
      </c>
      <c r="I66" s="2"/>
      <c r="J66" s="7">
        <f t="shared" si="38"/>
        <v>7.3303010734574294E-3</v>
      </c>
      <c r="K66" s="2"/>
      <c r="L66" s="6">
        <f t="shared" si="39"/>
        <v>-205.32333333333304</v>
      </c>
      <c r="M66" s="2"/>
      <c r="N66" s="7">
        <f t="shared" si="40"/>
        <v>-0.19660708586019768</v>
      </c>
      <c r="O66" s="11"/>
      <c r="P66" s="6">
        <v>2089.5100000000002</v>
      </c>
      <c r="Q66" s="2"/>
      <c r="R66" s="7">
        <f t="shared" si="41"/>
        <v>2.7916021207791332E-2</v>
      </c>
      <c r="S66" s="2"/>
      <c r="T66" s="6">
        <v>2088.6666666666661</v>
      </c>
      <c r="U66" s="2"/>
      <c r="V66" s="7">
        <f t="shared" si="42"/>
        <v>1.4227683812092846E-2</v>
      </c>
      <c r="W66" s="2"/>
      <c r="X66" s="6">
        <f t="shared" si="43"/>
        <v>0.84333333333415794</v>
      </c>
      <c r="Y66" s="2"/>
      <c r="Z66" s="7">
        <f t="shared" si="44"/>
        <v>4.0376635812359952E-4</v>
      </c>
    </row>
    <row r="67" spans="1:26" s="29" customFormat="1" outlineLevel="1" collapsed="1" x14ac:dyDescent="0.25">
      <c r="A67" s="28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SUM(OSRRefD22_9x_0)</f>
        <v>-1026.6199999999999</v>
      </c>
      <c r="E67" s="1"/>
      <c r="F67" s="5">
        <f t="shared" si="37"/>
        <v>-1.8820826508945857E-2</v>
      </c>
      <c r="G67" s="1"/>
      <c r="H67" s="1">
        <f>SUM(OSRRefH22_9x_0)</f>
        <v>430</v>
      </c>
      <c r="I67" s="1"/>
      <c r="J67" s="5">
        <f t="shared" si="38"/>
        <v>3.0182216357357442E-3</v>
      </c>
      <c r="K67" s="1"/>
      <c r="L67" s="1">
        <f t="shared" si="39"/>
        <v>-1456.62</v>
      </c>
      <c r="M67" s="1"/>
      <c r="N67" s="5">
        <f t="shared" si="40"/>
        <v>-3.3874883720930229</v>
      </c>
      <c r="O67" s="14"/>
      <c r="P67" s="1">
        <f>SUM(OSRRefP22_9x_0)</f>
        <v>9595.23</v>
      </c>
      <c r="Q67" s="1"/>
      <c r="R67" s="5">
        <f t="shared" si="41"/>
        <v>0.12819304247102697</v>
      </c>
      <c r="S67" s="1"/>
      <c r="T67" s="1">
        <f>SUM(OSRRefT22_9x_0)</f>
        <v>9635</v>
      </c>
      <c r="U67" s="1"/>
      <c r="V67" s="5">
        <f t="shared" si="42"/>
        <v>6.5632173729419693E-2</v>
      </c>
      <c r="W67" s="1"/>
      <c r="X67" s="1">
        <f t="shared" si="43"/>
        <v>-39.770000000000437</v>
      </c>
      <c r="Y67" s="1"/>
      <c r="Z67" s="5">
        <f t="shared" si="44"/>
        <v>-4.1276595744681307E-3</v>
      </c>
    </row>
    <row r="68" spans="1:26" s="24" customFormat="1" hidden="1" outlineLevel="2" x14ac:dyDescent="0.25">
      <c r="A68" s="27"/>
      <c r="B68" s="11" t="str">
        <f>CONCATENATE("          ", "6279", " - ", "GENERAL EXPENSE")</f>
        <v xml:space="preserve">          6279 - GENERAL EXPENSE</v>
      </c>
      <c r="C68" s="11"/>
      <c r="D68" s="6">
        <v>-1026.6199999999999</v>
      </c>
      <c r="E68" s="2"/>
      <c r="F68" s="7">
        <f t="shared" si="37"/>
        <v>-1.8820826508945857E-2</v>
      </c>
      <c r="G68" s="2"/>
      <c r="H68" s="6">
        <v>430</v>
      </c>
      <c r="I68" s="2"/>
      <c r="J68" s="7">
        <f t="shared" si="38"/>
        <v>3.0182216357357442E-3</v>
      </c>
      <c r="K68" s="2"/>
      <c r="L68" s="6">
        <f t="shared" si="39"/>
        <v>-1456.62</v>
      </c>
      <c r="M68" s="2"/>
      <c r="N68" s="7">
        <f t="shared" si="40"/>
        <v>-3.3874883720930229</v>
      </c>
      <c r="O68" s="11"/>
      <c r="P68" s="6">
        <v>9595.23</v>
      </c>
      <c r="Q68" s="2"/>
      <c r="R68" s="7">
        <f t="shared" si="41"/>
        <v>0.12819304247102697</v>
      </c>
      <c r="S68" s="2"/>
      <c r="T68" s="6">
        <v>9635</v>
      </c>
      <c r="U68" s="2"/>
      <c r="V68" s="7">
        <f t="shared" si="42"/>
        <v>6.5632173729419693E-2</v>
      </c>
      <c r="W68" s="2"/>
      <c r="X68" s="6">
        <f t="shared" si="43"/>
        <v>-39.770000000000437</v>
      </c>
      <c r="Y68" s="2"/>
      <c r="Z68" s="7">
        <f t="shared" si="44"/>
        <v>-4.1276595744681307E-3</v>
      </c>
    </row>
    <row r="69" spans="1:26" s="29" customFormat="1" outlineLevel="1" collapsed="1" x14ac:dyDescent="0.25">
      <c r="A69" s="28"/>
      <c r="B69" s="14" t="str">
        <f>CONCATENATE("     ","Insurance                                         ")</f>
        <v xml:space="preserve">     Insurance                                         </v>
      </c>
      <c r="C69" s="14"/>
      <c r="D69" s="1">
        <f>SUM(OSRRefD22_10x_0)</f>
        <v>4246.03</v>
      </c>
      <c r="E69" s="1"/>
      <c r="F69" s="5">
        <f t="shared" si="37"/>
        <v>7.7841649277999039E-2</v>
      </c>
      <c r="G69" s="1"/>
      <c r="H69" s="1">
        <f>SUM(OSRRefH22_10x_0)</f>
        <v>4572</v>
      </c>
      <c r="I69" s="1"/>
      <c r="J69" s="5">
        <f t="shared" si="38"/>
        <v>3.2091417019962376E-2</v>
      </c>
      <c r="K69" s="1"/>
      <c r="L69" s="1">
        <f t="shared" si="39"/>
        <v>-325.97000000000025</v>
      </c>
      <c r="M69" s="1"/>
      <c r="N69" s="5">
        <f t="shared" si="40"/>
        <v>-7.1297025371828582E-2</v>
      </c>
      <c r="O69" s="14"/>
      <c r="P69" s="1">
        <f>SUM(OSRRefP22_10x_0)</f>
        <v>8492.06</v>
      </c>
      <c r="Q69" s="1"/>
      <c r="R69" s="5">
        <f t="shared" si="41"/>
        <v>0.11345460278143508</v>
      </c>
      <c r="S69" s="1"/>
      <c r="T69" s="1">
        <f>SUM(OSRRefT22_10x_0)</f>
        <v>9144</v>
      </c>
      <c r="U69" s="1"/>
      <c r="V69" s="5">
        <f t="shared" si="42"/>
        <v>6.2287555431428512E-2</v>
      </c>
      <c r="W69" s="1"/>
      <c r="X69" s="1">
        <f t="shared" si="43"/>
        <v>-651.94000000000051</v>
      </c>
      <c r="Y69" s="1"/>
      <c r="Z69" s="5">
        <f t="shared" si="44"/>
        <v>-7.1297025371828582E-2</v>
      </c>
    </row>
    <row r="70" spans="1:26" s="24" customFormat="1" hidden="1" outlineLevel="2" x14ac:dyDescent="0.25">
      <c r="A70" s="27"/>
      <c r="B70" s="11" t="str">
        <f>CONCATENATE("          ", "6314", " - ", "LIABILITY INSURANCE")</f>
        <v xml:space="preserve">          6314 - LIABILITY INSURANCE</v>
      </c>
      <c r="C70" s="11"/>
      <c r="D70" s="6">
        <v>4246.03</v>
      </c>
      <c r="E70" s="2"/>
      <c r="F70" s="7">
        <f t="shared" si="37"/>
        <v>7.7841649277999039E-2</v>
      </c>
      <c r="G70" s="2"/>
      <c r="H70" s="6">
        <v>4572</v>
      </c>
      <c r="I70" s="2"/>
      <c r="J70" s="7">
        <f t="shared" si="38"/>
        <v>3.2091417019962376E-2</v>
      </c>
      <c r="K70" s="2"/>
      <c r="L70" s="6">
        <f t="shared" si="39"/>
        <v>-325.97000000000025</v>
      </c>
      <c r="M70" s="2"/>
      <c r="N70" s="7">
        <f t="shared" si="40"/>
        <v>-7.1297025371828582E-2</v>
      </c>
      <c r="O70" s="11"/>
      <c r="P70" s="6">
        <v>8492.06</v>
      </c>
      <c r="Q70" s="2"/>
      <c r="R70" s="7">
        <f t="shared" si="41"/>
        <v>0.11345460278143508</v>
      </c>
      <c r="S70" s="2"/>
      <c r="T70" s="6">
        <v>9144</v>
      </c>
      <c r="U70" s="2"/>
      <c r="V70" s="7">
        <f t="shared" si="42"/>
        <v>6.2287555431428512E-2</v>
      </c>
      <c r="W70" s="2"/>
      <c r="X70" s="6">
        <f t="shared" si="43"/>
        <v>-651.94000000000051</v>
      </c>
      <c r="Y70" s="2"/>
      <c r="Z70" s="7">
        <f t="shared" si="44"/>
        <v>-7.1297025371828582E-2</v>
      </c>
    </row>
    <row r="71" spans="1:26" s="29" customFormat="1" outlineLevel="1" collapsed="1" x14ac:dyDescent="0.25">
      <c r="A71" s="28"/>
      <c r="B71" s="14" t="str">
        <f>CONCATENATE("     ","Interest                                          ")</f>
        <v xml:space="preserve">     Interest                                          </v>
      </c>
      <c r="C71" s="14"/>
      <c r="D71" s="1">
        <f>SUM(OSRRefD22_11x_0)</f>
        <v>7510</v>
      </c>
      <c r="E71" s="1"/>
      <c r="F71" s="5">
        <f t="shared" si="37"/>
        <v>0.13767938193507179</v>
      </c>
      <c r="G71" s="1"/>
      <c r="H71" s="1">
        <f>SUM(OSRRefH22_11x_0)</f>
        <v>7510</v>
      </c>
      <c r="I71" s="1"/>
      <c r="J71" s="5">
        <f t="shared" si="38"/>
        <v>5.2713591824128929E-2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SUM(OSRRefP22_11x_0)</f>
        <v>15020</v>
      </c>
      <c r="Q71" s="1"/>
      <c r="R71" s="5">
        <f t="shared" si="41"/>
        <v>0.20066840481310247</v>
      </c>
      <c r="S71" s="1"/>
      <c r="T71" s="1">
        <f>SUM(OSRRefT22_11x_0)</f>
        <v>15020</v>
      </c>
      <c r="U71" s="1"/>
      <c r="V71" s="5">
        <f t="shared" si="42"/>
        <v>0.10231398540901752</v>
      </c>
      <c r="W71" s="1"/>
      <c r="X71" s="1">
        <f t="shared" si="43"/>
        <v>0</v>
      </c>
      <c r="Y71" s="1"/>
      <c r="Z71" s="5">
        <f t="shared" si="44"/>
        <v>0</v>
      </c>
    </row>
    <row r="72" spans="1:26" s="24" customFormat="1" hidden="1" outlineLevel="2" x14ac:dyDescent="0.25">
      <c r="A72" s="27"/>
      <c r="B72" s="11" t="str">
        <f>CONCATENATE("          ", "6401", " - ", "INTEREST EXPENSE")</f>
        <v xml:space="preserve">          6401 - INTEREST EXPENSE</v>
      </c>
      <c r="C72" s="11"/>
      <c r="D72" s="6">
        <v>7510</v>
      </c>
      <c r="E72" s="2"/>
      <c r="F72" s="7">
        <f t="shared" si="37"/>
        <v>0.13767938193507179</v>
      </c>
      <c r="G72" s="2"/>
      <c r="H72" s="6">
        <v>7510</v>
      </c>
      <c r="I72" s="2"/>
      <c r="J72" s="7">
        <f t="shared" si="38"/>
        <v>5.2713591824128929E-2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15020</v>
      </c>
      <c r="Q72" s="2"/>
      <c r="R72" s="7">
        <f t="shared" si="41"/>
        <v>0.20066840481310247</v>
      </c>
      <c r="S72" s="2"/>
      <c r="T72" s="6">
        <v>15020</v>
      </c>
      <c r="U72" s="2"/>
      <c r="V72" s="7">
        <f t="shared" si="42"/>
        <v>0.10231398540901752</v>
      </c>
      <c r="W72" s="2"/>
      <c r="X72" s="6">
        <f t="shared" si="43"/>
        <v>0</v>
      </c>
      <c r="Y72" s="2"/>
      <c r="Z72" s="7">
        <f t="shared" si="44"/>
        <v>0</v>
      </c>
    </row>
    <row r="73" spans="1:26" s="29" customFormat="1" outlineLevel="1" collapsed="1" x14ac:dyDescent="0.25">
      <c r="A73" s="28"/>
      <c r="B73" s="14" t="str">
        <f>CONCATENATE("     ","R/H Commissions                                   ")</f>
        <v xml:space="preserve">     R/H Commissions                                   </v>
      </c>
      <c r="C73" s="14"/>
      <c r="D73" s="1">
        <f>SUM(OSRRefD22_12x_0)</f>
        <v>3533.81</v>
      </c>
      <c r="E73" s="1"/>
      <c r="F73" s="5">
        <f t="shared" si="37"/>
        <v>6.4784657347000799E-2</v>
      </c>
      <c r="G73" s="1"/>
      <c r="H73" s="1">
        <f>SUM(OSRRefH22_12x_0)</f>
        <v>10718</v>
      </c>
      <c r="I73" s="1"/>
      <c r="J73" s="5">
        <f t="shared" si="38"/>
        <v>7.5230929050734197E-2</v>
      </c>
      <c r="K73" s="1"/>
      <c r="L73" s="1">
        <f t="shared" si="39"/>
        <v>-7184.1900000000005</v>
      </c>
      <c r="M73" s="1"/>
      <c r="N73" s="5">
        <f t="shared" si="40"/>
        <v>-0.67029203209554022</v>
      </c>
      <c r="O73" s="14"/>
      <c r="P73" s="1">
        <f>SUM(OSRRefP22_12x_0)</f>
        <v>4685.49</v>
      </c>
      <c r="Q73" s="1"/>
      <c r="R73" s="5">
        <f t="shared" si="41"/>
        <v>6.2598522241527524E-2</v>
      </c>
      <c r="S73" s="1"/>
      <c r="T73" s="1">
        <f>SUM(OSRRefT22_12x_0)</f>
        <v>10718</v>
      </c>
      <c r="U73" s="1"/>
      <c r="V73" s="5">
        <f t="shared" si="42"/>
        <v>7.3009407164703721E-2</v>
      </c>
      <c r="W73" s="1"/>
      <c r="X73" s="1">
        <f t="shared" si="43"/>
        <v>-6032.51</v>
      </c>
      <c r="Y73" s="1"/>
      <c r="Z73" s="5">
        <f t="shared" si="44"/>
        <v>-0.56283914909498045</v>
      </c>
    </row>
    <row r="74" spans="1:26" s="24" customFormat="1" hidden="1" outlineLevel="2" x14ac:dyDescent="0.25">
      <c r="A74" s="27"/>
      <c r="B74" s="11" t="str">
        <f>CONCATENATE("          ", "6387", " - ", "COMMISSION DUE HOUSING")</f>
        <v xml:space="preserve">          6387 - COMMISSION DUE HOUSING</v>
      </c>
      <c r="C74" s="11"/>
      <c r="D74" s="6">
        <v>3533.81</v>
      </c>
      <c r="E74" s="2"/>
      <c r="F74" s="7">
        <f t="shared" si="37"/>
        <v>6.4784657347000799E-2</v>
      </c>
      <c r="G74" s="2"/>
      <c r="H74" s="6">
        <v>10718</v>
      </c>
      <c r="I74" s="2"/>
      <c r="J74" s="7">
        <f t="shared" si="38"/>
        <v>7.5230929050734197E-2</v>
      </c>
      <c r="K74" s="2"/>
      <c r="L74" s="6">
        <f t="shared" si="39"/>
        <v>-7184.1900000000005</v>
      </c>
      <c r="M74" s="2"/>
      <c r="N74" s="7">
        <f t="shared" si="40"/>
        <v>-0.67029203209554022</v>
      </c>
      <c r="O74" s="11"/>
      <c r="P74" s="6">
        <v>4685.49</v>
      </c>
      <c r="Q74" s="2"/>
      <c r="R74" s="7">
        <f t="shared" si="41"/>
        <v>6.2598522241527524E-2</v>
      </c>
      <c r="S74" s="2"/>
      <c r="T74" s="6">
        <v>10718</v>
      </c>
      <c r="U74" s="2"/>
      <c r="V74" s="7">
        <f t="shared" si="42"/>
        <v>7.3009407164703721E-2</v>
      </c>
      <c r="W74" s="2"/>
      <c r="X74" s="6">
        <f t="shared" si="43"/>
        <v>-6032.51</v>
      </c>
      <c r="Y74" s="2"/>
      <c r="Z74" s="7">
        <f t="shared" si="44"/>
        <v>-0.56283914909498045</v>
      </c>
    </row>
    <row r="75" spans="1:26" s="29" customFormat="1" outlineLevel="1" collapsed="1" x14ac:dyDescent="0.25">
      <c r="A75" s="28"/>
      <c r="B75" s="14" t="str">
        <f>CONCATENATE("     ","Rent                                              ")</f>
        <v xml:space="preserve">     Rent                                              </v>
      </c>
      <c r="C75" s="14"/>
      <c r="D75" s="1">
        <f>SUM(OSRRefD22_13x_0)</f>
        <v>0</v>
      </c>
      <c r="E75" s="1"/>
      <c r="F75" s="5">
        <f t="shared" si="37"/>
        <v>0</v>
      </c>
      <c r="G75" s="1"/>
      <c r="H75" s="1">
        <f>SUM(OSRRefH22_13x_0)</f>
        <v>1943</v>
      </c>
      <c r="I75" s="1"/>
      <c r="J75" s="5">
        <f t="shared" si="38"/>
        <v>1.36381503214757E-2</v>
      </c>
      <c r="K75" s="1"/>
      <c r="L75" s="1">
        <f t="shared" si="39"/>
        <v>-1943</v>
      </c>
      <c r="M75" s="1"/>
      <c r="N75" s="5">
        <f t="shared" si="40"/>
        <v>-1</v>
      </c>
      <c r="O75" s="14"/>
      <c r="P75" s="1">
        <f>SUM(OSRRefP22_13x_0)</f>
        <v>0</v>
      </c>
      <c r="Q75" s="1"/>
      <c r="R75" s="5">
        <f t="shared" si="41"/>
        <v>0</v>
      </c>
      <c r="S75" s="1"/>
      <c r="T75" s="1">
        <f>SUM(OSRRefT22_13x_0)</f>
        <v>3886</v>
      </c>
      <c r="U75" s="1"/>
      <c r="V75" s="5">
        <f t="shared" si="42"/>
        <v>2.6470848688378304E-2</v>
      </c>
      <c r="W75" s="1"/>
      <c r="X75" s="1">
        <f t="shared" si="43"/>
        <v>-3886</v>
      </c>
      <c r="Y75" s="1"/>
      <c r="Z75" s="5">
        <f t="shared" si="44"/>
        <v>-1</v>
      </c>
    </row>
    <row r="76" spans="1:26" s="24" customFormat="1" hidden="1" outlineLevel="2" x14ac:dyDescent="0.25">
      <c r="A76" s="27"/>
      <c r="B76" s="11" t="str">
        <f>CONCATENATE("          ", "6273", " - ", "RENT")</f>
        <v xml:space="preserve">          6273 - RENT</v>
      </c>
      <c r="C76" s="11"/>
      <c r="D76" s="6"/>
      <c r="E76" s="2"/>
      <c r="F76" s="7">
        <f t="shared" si="37"/>
        <v>0</v>
      </c>
      <c r="G76" s="2"/>
      <c r="H76" s="6">
        <v>1943</v>
      </c>
      <c r="I76" s="2"/>
      <c r="J76" s="7">
        <f t="shared" si="38"/>
        <v>1.36381503214757E-2</v>
      </c>
      <c r="K76" s="2"/>
      <c r="L76" s="6">
        <f t="shared" si="39"/>
        <v>-1943</v>
      </c>
      <c r="M76" s="2"/>
      <c r="N76" s="7">
        <f t="shared" si="40"/>
        <v>-1</v>
      </c>
      <c r="O76" s="11"/>
      <c r="P76" s="6"/>
      <c r="Q76" s="2"/>
      <c r="R76" s="7">
        <f t="shared" si="41"/>
        <v>0</v>
      </c>
      <c r="S76" s="2"/>
      <c r="T76" s="6">
        <v>3886</v>
      </c>
      <c r="U76" s="2"/>
      <c r="V76" s="7">
        <f t="shared" si="42"/>
        <v>2.6470848688378304E-2</v>
      </c>
      <c r="W76" s="2"/>
      <c r="X76" s="6">
        <f t="shared" si="43"/>
        <v>-3886</v>
      </c>
      <c r="Y76" s="2"/>
      <c r="Z76" s="7">
        <f t="shared" si="44"/>
        <v>-1</v>
      </c>
    </row>
    <row r="77" spans="1:26" s="29" customFormat="1" outlineLevel="1" collapsed="1" x14ac:dyDescent="0.25">
      <c r="A77" s="28"/>
      <c r="B77" s="14" t="str">
        <f>CONCATENATE("     ","Repair and Maintenance                            ")</f>
        <v xml:space="preserve">     Repair and Maintenance                            </v>
      </c>
      <c r="C77" s="14"/>
      <c r="D77" s="1">
        <f>SUM(OSRRefD22_14x_0)</f>
        <v>6762.41</v>
      </c>
      <c r="E77" s="1"/>
      <c r="F77" s="5">
        <f t="shared" si="37"/>
        <v>0.12397395861405443</v>
      </c>
      <c r="G77" s="1"/>
      <c r="H77" s="1">
        <f>SUM(OSRRefH22_14x_0)</f>
        <v>2969</v>
      </c>
      <c r="I77" s="1"/>
      <c r="J77" s="5">
        <f t="shared" si="38"/>
        <v>2.0839767526742846E-2</v>
      </c>
      <c r="K77" s="1"/>
      <c r="L77" s="1">
        <f t="shared" si="39"/>
        <v>3793.41</v>
      </c>
      <c r="M77" s="1"/>
      <c r="N77" s="5">
        <f t="shared" si="40"/>
        <v>1.2776726170427752</v>
      </c>
      <c r="O77" s="14"/>
      <c r="P77" s="1">
        <f>SUM(OSRRefP22_14x_0)</f>
        <v>10874.470000000001</v>
      </c>
      <c r="Q77" s="1"/>
      <c r="R77" s="5">
        <f t="shared" si="41"/>
        <v>0.14528379148388407</v>
      </c>
      <c r="S77" s="1"/>
      <c r="T77" s="1">
        <f>SUM(OSRRefT22_14x_0)</f>
        <v>7397</v>
      </c>
      <c r="U77" s="1"/>
      <c r="V77" s="5">
        <f t="shared" si="42"/>
        <v>5.0387253666478206E-2</v>
      </c>
      <c r="W77" s="1"/>
      <c r="X77" s="1">
        <f t="shared" si="43"/>
        <v>3477.4700000000012</v>
      </c>
      <c r="Y77" s="1"/>
      <c r="Z77" s="5">
        <f t="shared" si="44"/>
        <v>0.47011896714884427</v>
      </c>
    </row>
    <row r="78" spans="1:26" s="24" customFormat="1" hidden="1" outlineLevel="2" x14ac:dyDescent="0.25">
      <c r="A78" s="27"/>
      <c r="B78" s="11" t="str">
        <f>CONCATENATE("          ", "6372", " - ", "COMPUTER HARDWARE MAINTENANCE")</f>
        <v xml:space="preserve">          6372 - COMPUTER HARDWARE MAINTENANCE</v>
      </c>
      <c r="C78" s="11"/>
      <c r="D78" s="6"/>
      <c r="E78" s="2"/>
      <c r="F78" s="7">
        <f t="shared" si="37"/>
        <v>0</v>
      </c>
      <c r="G78" s="2"/>
      <c r="H78" s="6">
        <v>0</v>
      </c>
      <c r="I78" s="2"/>
      <c r="J78" s="7">
        <f t="shared" si="38"/>
        <v>0</v>
      </c>
      <c r="K78" s="2"/>
      <c r="L78" s="6">
        <f t="shared" si="39"/>
        <v>0</v>
      </c>
      <c r="M78" s="2"/>
      <c r="N78" s="7">
        <f t="shared" si="40"/>
        <v>0</v>
      </c>
      <c r="O78" s="11"/>
      <c r="P78" s="6"/>
      <c r="Q78" s="2"/>
      <c r="R78" s="7">
        <f t="shared" si="41"/>
        <v>0</v>
      </c>
      <c r="S78" s="2"/>
      <c r="T78" s="6">
        <v>3083</v>
      </c>
      <c r="U78" s="2"/>
      <c r="V78" s="7">
        <f t="shared" si="42"/>
        <v>2.1000933223435488E-2</v>
      </c>
      <c r="W78" s="2"/>
      <c r="X78" s="6">
        <f t="shared" si="43"/>
        <v>-3083</v>
      </c>
      <c r="Y78" s="2"/>
      <c r="Z78" s="7">
        <f t="shared" si="44"/>
        <v>-1</v>
      </c>
    </row>
    <row r="79" spans="1:26" s="24" customFormat="1" hidden="1" outlineLevel="2" x14ac:dyDescent="0.25">
      <c r="A79" s="27"/>
      <c r="B79" s="11" t="str">
        <f>CONCATENATE("          ", "6373", " - ", "MAINTENANCE CONTRACTS")</f>
        <v xml:space="preserve">          6373 - MAINTENANCE CONTRACTS</v>
      </c>
      <c r="C79" s="11"/>
      <c r="D79" s="6">
        <v>4161.01</v>
      </c>
      <c r="E79" s="2"/>
      <c r="F79" s="7">
        <f t="shared" si="37"/>
        <v>7.6282994011405203E-2</v>
      </c>
      <c r="G79" s="2"/>
      <c r="H79" s="6">
        <v>1858</v>
      </c>
      <c r="I79" s="2"/>
      <c r="J79" s="7">
        <f t="shared" si="38"/>
        <v>1.3041525114411657E-2</v>
      </c>
      <c r="K79" s="2"/>
      <c r="L79" s="6">
        <f t="shared" si="39"/>
        <v>2303.0100000000002</v>
      </c>
      <c r="M79" s="2"/>
      <c r="N79" s="7">
        <f t="shared" si="40"/>
        <v>1.2395102260495157</v>
      </c>
      <c r="O79" s="11"/>
      <c r="P79" s="6">
        <v>6516.25</v>
      </c>
      <c r="Q79" s="2"/>
      <c r="R79" s="7">
        <f t="shared" si="41"/>
        <v>8.7057622693966649E-2</v>
      </c>
      <c r="S79" s="2"/>
      <c r="T79" s="6">
        <v>1916</v>
      </c>
      <c r="U79" s="2"/>
      <c r="V79" s="7">
        <f t="shared" si="42"/>
        <v>1.3051504397049107E-2</v>
      </c>
      <c r="W79" s="2"/>
      <c r="X79" s="6">
        <f t="shared" si="43"/>
        <v>4600.25</v>
      </c>
      <c r="Y79" s="2"/>
      <c r="Z79" s="7">
        <f t="shared" si="44"/>
        <v>2.400965553235908</v>
      </c>
    </row>
    <row r="80" spans="1:26" s="24" customFormat="1" hidden="1" outlineLevel="2" x14ac:dyDescent="0.25">
      <c r="A80" s="27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2601.4</v>
      </c>
      <c r="E80" s="2"/>
      <c r="F80" s="7">
        <f t="shared" si="37"/>
        <v>4.7690964602649238E-2</v>
      </c>
      <c r="G80" s="2"/>
      <c r="H80" s="6">
        <v>1111</v>
      </c>
      <c r="I80" s="2"/>
      <c r="J80" s="7">
        <f t="shared" si="38"/>
        <v>7.7982424123311904E-3</v>
      </c>
      <c r="K80" s="2"/>
      <c r="L80" s="6">
        <f t="shared" si="39"/>
        <v>1490.4</v>
      </c>
      <c r="M80" s="2"/>
      <c r="N80" s="7">
        <f t="shared" si="40"/>
        <v>1.3414941494149415</v>
      </c>
      <c r="O80" s="11"/>
      <c r="P80" s="6">
        <v>4358.22</v>
      </c>
      <c r="Q80" s="2"/>
      <c r="R80" s="7">
        <f t="shared" si="41"/>
        <v>5.8226168789917411E-2</v>
      </c>
      <c r="S80" s="2"/>
      <c r="T80" s="6">
        <v>2398</v>
      </c>
      <c r="U80" s="2"/>
      <c r="V80" s="7">
        <f t="shared" si="42"/>
        <v>1.633481604599361E-2</v>
      </c>
      <c r="W80" s="2"/>
      <c r="X80" s="6">
        <f t="shared" si="43"/>
        <v>1960.2200000000003</v>
      </c>
      <c r="Y80" s="2"/>
      <c r="Z80" s="7">
        <f t="shared" si="44"/>
        <v>0.8174395329441202</v>
      </c>
    </row>
    <row r="81" spans="1:26" s="29" customFormat="1" outlineLevel="1" collapsed="1" x14ac:dyDescent="0.25">
      <c r="A81" s="28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1">
        <f>SUM(OSRRefD22_15x_0)</f>
        <v>0</v>
      </c>
      <c r="E81" s="1"/>
      <c r="F81" s="5">
        <f t="shared" ref="F81:F83" si="45">IF(D$12=0,0,D81/D$12)</f>
        <v>0</v>
      </c>
      <c r="G81" s="1"/>
      <c r="H81" s="1">
        <f>SUM(OSRRefH22_15x_0)</f>
        <v>0</v>
      </c>
      <c r="I81" s="1"/>
      <c r="J81" s="5">
        <f t="shared" ref="J81:J83" si="46">IF(H$12=0,0,H81/H$12)</f>
        <v>0</v>
      </c>
      <c r="K81" s="1"/>
      <c r="L81" s="1">
        <f t="shared" ref="L81:L83" si="47">+D81-H81</f>
        <v>0</v>
      </c>
      <c r="M81" s="1"/>
      <c r="N81" s="5">
        <f t="shared" ref="N81:N83" si="48">IF(H81=0,0,L81/H81)</f>
        <v>0</v>
      </c>
      <c r="O81" s="14"/>
      <c r="P81" s="1">
        <f>SUM(OSRRefP22_15x_0)</f>
        <v>0</v>
      </c>
      <c r="Q81" s="1"/>
      <c r="R81" s="5">
        <f t="shared" ref="R81:R83" si="49">IF(P$12=0,0,P81/P$12)</f>
        <v>0</v>
      </c>
      <c r="S81" s="1"/>
      <c r="T81" s="1">
        <f>SUM(OSRRefT22_15x_0)</f>
        <v>0</v>
      </c>
      <c r="U81" s="1"/>
      <c r="V81" s="5">
        <f t="shared" ref="V81:V83" si="50">IF(T$12=0,0,T81/T$12)</f>
        <v>0</v>
      </c>
      <c r="W81" s="1"/>
      <c r="X81" s="1">
        <f t="shared" ref="X81:X83" si="51">+P81-T81</f>
        <v>0</v>
      </c>
      <c r="Y81" s="1"/>
      <c r="Z81" s="5">
        <f t="shared" ref="Z81:Z83" si="52">IF(T81=0,0,X81/T81)</f>
        <v>0</v>
      </c>
    </row>
    <row r="82" spans="1:26" s="24" customFormat="1" hidden="1" outlineLevel="2" x14ac:dyDescent="0.25">
      <c r="A82" s="27"/>
      <c r="B82" s="11" t="str">
        <f>CONCATENATE("          ", "6254", " - ", "ROYALTY &amp; COMMISSIONS")</f>
        <v xml:space="preserve">          6254 - ROYALTY &amp; COMMISSIONS</v>
      </c>
      <c r="C82" s="11"/>
      <c r="D82" s="6"/>
      <c r="E82" s="2"/>
      <c r="F82" s="7">
        <f t="shared" si="45"/>
        <v>0</v>
      </c>
      <c r="G82" s="2"/>
      <c r="H82" s="6">
        <v>0</v>
      </c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/>
      <c r="Q82" s="2"/>
      <c r="R82" s="7">
        <f t="shared" si="49"/>
        <v>0</v>
      </c>
      <c r="S82" s="2"/>
      <c r="T82" s="6">
        <v>0</v>
      </c>
      <c r="U82" s="2"/>
      <c r="V82" s="7">
        <f t="shared" si="50"/>
        <v>0</v>
      </c>
      <c r="W82" s="2"/>
      <c r="X82" s="6">
        <f t="shared" si="51"/>
        <v>0</v>
      </c>
      <c r="Y82" s="2"/>
      <c r="Z82" s="7">
        <f t="shared" si="52"/>
        <v>0</v>
      </c>
    </row>
    <row r="83" spans="1:26" s="24" customFormat="1" hidden="1" outlineLevel="2" x14ac:dyDescent="0.25">
      <c r="A83" s="27"/>
      <c r="B83" s="11" t="str">
        <f>CONCATENATE("          ", "6259", " - ", "ROYALTY &amp; COMMISSIONS")</f>
        <v xml:space="preserve">          6259 - ROYALTY &amp; COMMISSIONS</v>
      </c>
      <c r="C83" s="11"/>
      <c r="D83" s="6"/>
      <c r="E83" s="2"/>
      <c r="F83" s="7">
        <f t="shared" si="45"/>
        <v>0</v>
      </c>
      <c r="G83" s="2"/>
      <c r="H83" s="6">
        <v>0</v>
      </c>
      <c r="I83" s="2"/>
      <c r="J83" s="7">
        <f t="shared" si="46"/>
        <v>0</v>
      </c>
      <c r="K83" s="2"/>
      <c r="L83" s="6">
        <f t="shared" si="47"/>
        <v>0</v>
      </c>
      <c r="M83" s="2"/>
      <c r="N83" s="7">
        <f t="shared" si="48"/>
        <v>0</v>
      </c>
      <c r="O83" s="11"/>
      <c r="P83" s="6"/>
      <c r="Q83" s="2"/>
      <c r="R83" s="7">
        <f t="shared" si="49"/>
        <v>0</v>
      </c>
      <c r="S83" s="2"/>
      <c r="T83" s="6">
        <v>0</v>
      </c>
      <c r="U83" s="2"/>
      <c r="V83" s="7">
        <f t="shared" si="50"/>
        <v>0</v>
      </c>
      <c r="W83" s="2"/>
      <c r="X83" s="6">
        <f t="shared" si="51"/>
        <v>0</v>
      </c>
      <c r="Y83" s="2"/>
      <c r="Z83" s="7">
        <f t="shared" si="52"/>
        <v>0</v>
      </c>
    </row>
    <row r="84" spans="1:26" s="29" customFormat="1" outlineLevel="1" collapsed="1" x14ac:dyDescent="0.25">
      <c r="A84" s="28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SUM(OSRRefD22_16x_0)</f>
        <v>12221.41</v>
      </c>
      <c r="E84" s="1"/>
      <c r="F84" s="5">
        <f t="shared" ref="F84:F89" si="53">IF(D$12=0,0,D84/D$12)</f>
        <v>0.22405275301932165</v>
      </c>
      <c r="G84" s="1"/>
      <c r="H84" s="1">
        <f>SUM(OSRRefH22_16x_0)</f>
        <v>24733</v>
      </c>
      <c r="I84" s="1"/>
      <c r="J84" s="5">
        <f t="shared" ref="J84:J89" si="54">IF(H$12=0,0,H84/H$12)</f>
        <v>0.17360389701547013</v>
      </c>
      <c r="K84" s="1"/>
      <c r="L84" s="1">
        <f t="shared" ref="L84:L89" si="55">+D84-H84</f>
        <v>-12511.59</v>
      </c>
      <c r="M84" s="1"/>
      <c r="N84" s="5">
        <f t="shared" ref="N84:N89" si="56">IF(H84=0,0,L84/H84)</f>
        <v>-0.50586625156673271</v>
      </c>
      <c r="O84" s="14"/>
      <c r="P84" s="1">
        <f>SUM(OSRRefP22_16x_0)</f>
        <v>24981.279999999999</v>
      </c>
      <c r="Q84" s="1"/>
      <c r="R84" s="5">
        <f t="shared" ref="R84:R89" si="57">IF(P$12=0,0,P84/P$12)</f>
        <v>0.33375190464643545</v>
      </c>
      <c r="S84" s="1"/>
      <c r="T84" s="1">
        <f>SUM(OSRRefT22_16x_0)</f>
        <v>49689</v>
      </c>
      <c r="U84" s="1"/>
      <c r="V84" s="5">
        <f t="shared" ref="V84:V89" si="58">IF(T$12=0,0,T84/T$12)</f>
        <v>0.33847400938672917</v>
      </c>
      <c r="W84" s="1"/>
      <c r="X84" s="1">
        <f t="shared" ref="X84:X89" si="59">+P84-T84</f>
        <v>-24707.72</v>
      </c>
      <c r="Y84" s="1"/>
      <c r="Z84" s="5">
        <f t="shared" ref="Z84:Z89" si="60">IF(T84=0,0,X84/T84)</f>
        <v>-0.4972472780695929</v>
      </c>
    </row>
    <row r="85" spans="1:26" s="24" customFormat="1" hidden="1" outlineLevel="2" x14ac:dyDescent="0.25">
      <c r="A85" s="27"/>
      <c r="B85" s="11" t="str">
        <f>CONCATENATE("          ", "6282", " - ", "JANITORIAL/EXTERMINATOR EXPENS")</f>
        <v xml:space="preserve">          6282 - JANITORIAL/EXTERMINATOR EXPENS</v>
      </c>
      <c r="C85" s="11"/>
      <c r="D85" s="6">
        <v>1396.32</v>
      </c>
      <c r="E85" s="2"/>
      <c r="F85" s="7">
        <f t="shared" si="53"/>
        <v>2.5598465324045198E-2</v>
      </c>
      <c r="G85" s="2"/>
      <c r="H85" s="6">
        <v>2705</v>
      </c>
      <c r="I85" s="2"/>
      <c r="J85" s="7">
        <f t="shared" si="54"/>
        <v>1.8986719824802763E-2</v>
      </c>
      <c r="K85" s="2"/>
      <c r="L85" s="6">
        <f t="shared" si="55"/>
        <v>-1308.68</v>
      </c>
      <c r="M85" s="2"/>
      <c r="N85" s="7">
        <f t="shared" si="56"/>
        <v>-0.48380036968576712</v>
      </c>
      <c r="O85" s="11"/>
      <c r="P85" s="6">
        <v>2904.62</v>
      </c>
      <c r="Q85" s="2"/>
      <c r="R85" s="7">
        <f t="shared" si="57"/>
        <v>3.8805956190960965E-2</v>
      </c>
      <c r="S85" s="2"/>
      <c r="T85" s="6">
        <v>5410</v>
      </c>
      <c r="U85" s="2"/>
      <c r="V85" s="7">
        <f t="shared" si="58"/>
        <v>3.685210792694972E-2</v>
      </c>
      <c r="W85" s="2"/>
      <c r="X85" s="6">
        <f t="shared" si="59"/>
        <v>-2505.38</v>
      </c>
      <c r="Y85" s="2"/>
      <c r="Z85" s="7">
        <f t="shared" si="60"/>
        <v>-0.46310166358595195</v>
      </c>
    </row>
    <row r="86" spans="1:26" s="24" customFormat="1" hidden="1" outlineLevel="2" x14ac:dyDescent="0.25">
      <c r="A86" s="27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53"/>
        <v>0</v>
      </c>
      <c r="G86" s="2"/>
      <c r="H86" s="6">
        <v>62</v>
      </c>
      <c r="I86" s="2"/>
      <c r="J86" s="7">
        <f t="shared" si="54"/>
        <v>4.3518544515259565E-4</v>
      </c>
      <c r="K86" s="2"/>
      <c r="L86" s="6">
        <f t="shared" si="55"/>
        <v>-62</v>
      </c>
      <c r="M86" s="2"/>
      <c r="N86" s="7">
        <f t="shared" si="56"/>
        <v>-1</v>
      </c>
      <c r="O86" s="11"/>
      <c r="P86" s="6"/>
      <c r="Q86" s="2"/>
      <c r="R86" s="7">
        <f t="shared" si="57"/>
        <v>0</v>
      </c>
      <c r="S86" s="2"/>
      <c r="T86" s="6">
        <v>124</v>
      </c>
      <c r="U86" s="2"/>
      <c r="V86" s="7">
        <f t="shared" si="58"/>
        <v>8.44669386865391E-4</v>
      </c>
      <c r="W86" s="2"/>
      <c r="X86" s="6">
        <f t="shared" si="59"/>
        <v>-124</v>
      </c>
      <c r="Y86" s="2"/>
      <c r="Z86" s="7">
        <f t="shared" si="60"/>
        <v>-1</v>
      </c>
    </row>
    <row r="87" spans="1:26" s="24" customFormat="1" hidden="1" outlineLevel="2" x14ac:dyDescent="0.25">
      <c r="A87" s="27"/>
      <c r="B87" s="11" t="str">
        <f>CONCATENATE("          ", "6284", " - ", "TRASH REMOVAL EXPENSE")</f>
        <v xml:space="preserve">          6284 - TRASH REMOVAL EXPENSE</v>
      </c>
      <c r="C87" s="11"/>
      <c r="D87" s="6">
        <v>1000</v>
      </c>
      <c r="E87" s="2"/>
      <c r="F87" s="7">
        <f t="shared" si="53"/>
        <v>1.8332807181767215E-2</v>
      </c>
      <c r="G87" s="2"/>
      <c r="H87" s="6">
        <v>2100</v>
      </c>
      <c r="I87" s="2"/>
      <c r="J87" s="7">
        <f t="shared" si="54"/>
        <v>1.4740152174523402E-2</v>
      </c>
      <c r="K87" s="2"/>
      <c r="L87" s="6">
        <f t="shared" si="55"/>
        <v>-1100</v>
      </c>
      <c r="M87" s="2"/>
      <c r="N87" s="7">
        <f t="shared" si="56"/>
        <v>-0.52380952380952384</v>
      </c>
      <c r="O87" s="11"/>
      <c r="P87" s="6">
        <v>2000</v>
      </c>
      <c r="Q87" s="2"/>
      <c r="R87" s="7">
        <f t="shared" si="57"/>
        <v>2.6720160427843205E-2</v>
      </c>
      <c r="S87" s="2"/>
      <c r="T87" s="6">
        <v>4423</v>
      </c>
      <c r="U87" s="2"/>
      <c r="V87" s="7">
        <f t="shared" si="58"/>
        <v>3.0128812081496974E-2</v>
      </c>
      <c r="W87" s="2"/>
      <c r="X87" s="6">
        <f t="shared" si="59"/>
        <v>-2423</v>
      </c>
      <c r="Y87" s="2"/>
      <c r="Z87" s="7">
        <f t="shared" si="60"/>
        <v>-0.54781822292561611</v>
      </c>
    </row>
    <row r="88" spans="1:26" s="24" customFormat="1" hidden="1" outlineLevel="2" x14ac:dyDescent="0.25">
      <c r="A88" s="27"/>
      <c r="B88" s="11" t="str">
        <f>CONCATENATE("          ", "6285", " - ", "JANITORIAL SERVICES")</f>
        <v xml:space="preserve">          6285 - JANITORIAL SERVICES</v>
      </c>
      <c r="C88" s="11"/>
      <c r="D88" s="6">
        <v>7312.63</v>
      </c>
      <c r="E88" s="2"/>
      <c r="F88" s="7">
        <f t="shared" si="53"/>
        <v>0.13406103578160639</v>
      </c>
      <c r="G88" s="2"/>
      <c r="H88" s="6">
        <v>15366</v>
      </c>
      <c r="I88" s="2"/>
      <c r="J88" s="7">
        <f t="shared" si="54"/>
        <v>0.10785579919701266</v>
      </c>
      <c r="K88" s="2"/>
      <c r="L88" s="6">
        <f t="shared" si="55"/>
        <v>-8053.37</v>
      </c>
      <c r="M88" s="2"/>
      <c r="N88" s="7">
        <f t="shared" si="56"/>
        <v>-0.52410321489001688</v>
      </c>
      <c r="O88" s="11"/>
      <c r="P88" s="6">
        <v>15626.729999999998</v>
      </c>
      <c r="Q88" s="2"/>
      <c r="R88" s="7">
        <f t="shared" si="57"/>
        <v>0.20877436628129512</v>
      </c>
      <c r="S88" s="2"/>
      <c r="T88" s="6">
        <v>30732</v>
      </c>
      <c r="U88" s="2"/>
      <c r="V88" s="7">
        <f t="shared" si="58"/>
        <v>0.20934177094473547</v>
      </c>
      <c r="W88" s="2"/>
      <c r="X88" s="6">
        <f t="shared" si="59"/>
        <v>-15105.270000000002</v>
      </c>
      <c r="Y88" s="2"/>
      <c r="Z88" s="7">
        <f t="shared" si="60"/>
        <v>-0.49151600937133938</v>
      </c>
    </row>
    <row r="89" spans="1:26" s="24" customFormat="1" hidden="1" outlineLevel="2" x14ac:dyDescent="0.25">
      <c r="A89" s="27"/>
      <c r="B89" s="11" t="str">
        <f>CONCATENATE("          ", "6286", " - ", "LAUNDRY EXPENSE")</f>
        <v xml:space="preserve">          6286 - LAUNDRY EXPENSE</v>
      </c>
      <c r="C89" s="11"/>
      <c r="D89" s="6">
        <v>2512.46</v>
      </c>
      <c r="E89" s="2"/>
      <c r="F89" s="7">
        <f t="shared" si="53"/>
        <v>4.6060444731902857E-2</v>
      </c>
      <c r="G89" s="2"/>
      <c r="H89" s="6">
        <v>4500</v>
      </c>
      <c r="I89" s="2"/>
      <c r="J89" s="7">
        <f t="shared" si="54"/>
        <v>3.1586040373978719E-2</v>
      </c>
      <c r="K89" s="2"/>
      <c r="L89" s="6">
        <f t="shared" si="55"/>
        <v>-1987.54</v>
      </c>
      <c r="M89" s="2"/>
      <c r="N89" s="7">
        <f t="shared" si="56"/>
        <v>-0.44167555555555554</v>
      </c>
      <c r="O89" s="11"/>
      <c r="P89" s="6">
        <v>4449.93</v>
      </c>
      <c r="Q89" s="2"/>
      <c r="R89" s="7">
        <f t="shared" si="57"/>
        <v>5.9451421746336164E-2</v>
      </c>
      <c r="S89" s="2"/>
      <c r="T89" s="6">
        <v>9000</v>
      </c>
      <c r="U89" s="2"/>
      <c r="V89" s="7">
        <f t="shared" si="58"/>
        <v>6.1306649046681608E-2</v>
      </c>
      <c r="W89" s="2"/>
      <c r="X89" s="6">
        <f t="shared" si="59"/>
        <v>-4550.07</v>
      </c>
      <c r="Y89" s="2"/>
      <c r="Z89" s="7">
        <f t="shared" si="60"/>
        <v>-0.50556333333333325</v>
      </c>
    </row>
    <row r="90" spans="1:26" s="29" customFormat="1" outlineLevel="1" collapsed="1" x14ac:dyDescent="0.25">
      <c r="A90" s="28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SUM(OSRRefD22_17x_0)</f>
        <v>0</v>
      </c>
      <c r="E90" s="1"/>
      <c r="F90" s="5">
        <f t="shared" ref="F90:F103" si="61">IF(D$12=0,0,D90/D$12)</f>
        <v>0</v>
      </c>
      <c r="G90" s="1"/>
      <c r="H90" s="1">
        <f>SUM(OSRRefH22_17x_0)</f>
        <v>197</v>
      </c>
      <c r="I90" s="1"/>
      <c r="J90" s="5">
        <f t="shared" ref="J90:J103" si="62">IF(H$12=0,0,H90/H$12)</f>
        <v>1.3827666563719571E-3</v>
      </c>
      <c r="K90" s="1"/>
      <c r="L90" s="1">
        <f t="shared" ref="L90:L103" si="63">+D90-H90</f>
        <v>-197</v>
      </c>
      <c r="M90" s="1"/>
      <c r="N90" s="5">
        <f t="shared" ref="N90:N103" si="64">IF(H90=0,0,L90/H90)</f>
        <v>-1</v>
      </c>
      <c r="O90" s="14"/>
      <c r="P90" s="1">
        <f>SUM(OSRRefP22_17x_0)</f>
        <v>9.32</v>
      </c>
      <c r="Q90" s="1"/>
      <c r="R90" s="5">
        <f t="shared" ref="R90:R103" si="65">IF(P$12=0,0,P90/P$12)</f>
        <v>1.2451594759374935E-4</v>
      </c>
      <c r="S90" s="1"/>
      <c r="T90" s="1">
        <f>SUM(OSRRefT22_17x_0)</f>
        <v>394</v>
      </c>
      <c r="U90" s="1"/>
      <c r="V90" s="5">
        <f t="shared" ref="V90:V103" si="66">IF(T$12=0,0,T90/T$12)</f>
        <v>2.6838688582658393E-3</v>
      </c>
      <c r="W90" s="1"/>
      <c r="X90" s="1">
        <f t="shared" ref="X90:X103" si="67">+P90-T90</f>
        <v>-384.68</v>
      </c>
      <c r="Y90" s="1"/>
      <c r="Z90" s="5">
        <f t="shared" ref="Z90:Z103" si="68">IF(T90=0,0,X90/T90)</f>
        <v>-0.97634517766497464</v>
      </c>
    </row>
    <row r="91" spans="1:26" s="24" customFormat="1" hidden="1" outlineLevel="2" x14ac:dyDescent="0.25">
      <c r="A91" s="27"/>
      <c r="B91" s="11" t="str">
        <f>CONCATENATE("          ", "6275", " - ", "SUBSCRIPTIONS")</f>
        <v xml:space="preserve">          6275 - SUBSCRIPTIONS</v>
      </c>
      <c r="C91" s="11"/>
      <c r="D91" s="6"/>
      <c r="E91" s="2"/>
      <c r="F91" s="7">
        <f t="shared" si="61"/>
        <v>0</v>
      </c>
      <c r="G91" s="2"/>
      <c r="H91" s="6">
        <v>197</v>
      </c>
      <c r="I91" s="2"/>
      <c r="J91" s="7">
        <f t="shared" si="62"/>
        <v>1.3827666563719571E-3</v>
      </c>
      <c r="K91" s="2"/>
      <c r="L91" s="6">
        <f t="shared" si="63"/>
        <v>-197</v>
      </c>
      <c r="M91" s="2"/>
      <c r="N91" s="7">
        <f t="shared" si="64"/>
        <v>-1</v>
      </c>
      <c r="O91" s="11"/>
      <c r="P91" s="6">
        <v>9.32</v>
      </c>
      <c r="Q91" s="2"/>
      <c r="R91" s="7">
        <f t="shared" si="65"/>
        <v>1.2451594759374935E-4</v>
      </c>
      <c r="S91" s="2"/>
      <c r="T91" s="6">
        <v>394</v>
      </c>
      <c r="U91" s="2"/>
      <c r="V91" s="7">
        <f t="shared" si="66"/>
        <v>2.6838688582658393E-3</v>
      </c>
      <c r="W91" s="2"/>
      <c r="X91" s="6">
        <f t="shared" si="67"/>
        <v>-384.68</v>
      </c>
      <c r="Y91" s="2"/>
      <c r="Z91" s="7">
        <f t="shared" si="68"/>
        <v>-0.97634517766497464</v>
      </c>
    </row>
    <row r="92" spans="1:26" s="29" customFormat="1" outlineLevel="1" collapsed="1" x14ac:dyDescent="0.25">
      <c r="A92" s="28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SUM(OSRRefD22_18x_0)</f>
        <v>-9521.130000000001</v>
      </c>
      <c r="E92" s="1"/>
      <c r="F92" s="5">
        <f t="shared" si="61"/>
        <v>-0.1745490404425393</v>
      </c>
      <c r="G92" s="1"/>
      <c r="H92" s="1">
        <f>SUM(OSRRefH22_18x_0)</f>
        <v>33837</v>
      </c>
      <c r="I92" s="1"/>
      <c r="J92" s="5">
        <f t="shared" si="62"/>
        <v>0.23750596625207063</v>
      </c>
      <c r="K92" s="1"/>
      <c r="L92" s="1">
        <f t="shared" si="63"/>
        <v>-43358.130000000005</v>
      </c>
      <c r="M92" s="1"/>
      <c r="N92" s="5">
        <f t="shared" si="64"/>
        <v>-1.2813822147353491</v>
      </c>
      <c r="O92" s="14"/>
      <c r="P92" s="1">
        <f>SUM(OSRRefP22_18x_0)</f>
        <v>-2166.4699999999989</v>
      </c>
      <c r="Q92" s="1"/>
      <c r="R92" s="5">
        <f t="shared" si="65"/>
        <v>-2.8944212981054721E-2</v>
      </c>
      <c r="S92" s="1"/>
      <c r="T92" s="1">
        <f>SUM(OSRRefT22_18x_0)</f>
        <v>51081</v>
      </c>
      <c r="U92" s="1"/>
      <c r="V92" s="5">
        <f t="shared" si="66"/>
        <v>0.3479561044392826</v>
      </c>
      <c r="W92" s="1"/>
      <c r="X92" s="1">
        <f t="shared" si="67"/>
        <v>-53247.47</v>
      </c>
      <c r="Y92" s="1"/>
      <c r="Z92" s="5">
        <f t="shared" si="68"/>
        <v>-1.0424124429827137</v>
      </c>
    </row>
    <row r="93" spans="1:26" s="24" customFormat="1" hidden="1" outlineLevel="2" x14ac:dyDescent="0.25">
      <c r="A93" s="27"/>
      <c r="B93" s="11" t="str">
        <f>CONCATENATE("          ", "6234", " - ", "EXPENDABLE SUPPLIES &amp; EQUIPMEN")</f>
        <v xml:space="preserve">          6234 - EXPENDABLE SUPPLIES &amp; EQUIPMEN</v>
      </c>
      <c r="C93" s="11"/>
      <c r="D93" s="6">
        <v>255.78</v>
      </c>
      <c r="E93" s="2"/>
      <c r="F93" s="7">
        <f t="shared" si="61"/>
        <v>4.6891654209524182E-3</v>
      </c>
      <c r="G93" s="2"/>
      <c r="H93" s="6">
        <v>100</v>
      </c>
      <c r="I93" s="2"/>
      <c r="J93" s="7">
        <f t="shared" si="62"/>
        <v>7.0191200831063816E-4</v>
      </c>
      <c r="K93" s="2"/>
      <c r="L93" s="6">
        <f t="shared" si="63"/>
        <v>155.78</v>
      </c>
      <c r="M93" s="2"/>
      <c r="N93" s="7">
        <f t="shared" si="64"/>
        <v>1.5578000000000001</v>
      </c>
      <c r="O93" s="11"/>
      <c r="P93" s="6">
        <v>255.78</v>
      </c>
      <c r="Q93" s="2"/>
      <c r="R93" s="7">
        <f t="shared" si="65"/>
        <v>3.4172413171168676E-3</v>
      </c>
      <c r="S93" s="2"/>
      <c r="T93" s="6">
        <v>200</v>
      </c>
      <c r="U93" s="2"/>
      <c r="V93" s="7">
        <f t="shared" si="66"/>
        <v>1.3623699788151468E-3</v>
      </c>
      <c r="W93" s="2"/>
      <c r="X93" s="6">
        <f t="shared" si="67"/>
        <v>55.78</v>
      </c>
      <c r="Y93" s="2"/>
      <c r="Z93" s="7">
        <f t="shared" si="68"/>
        <v>0.27889999999999998</v>
      </c>
    </row>
    <row r="94" spans="1:26" s="24" customFormat="1" hidden="1" outlineLevel="2" x14ac:dyDescent="0.25">
      <c r="A94" s="27"/>
      <c r="B94" s="11" t="str">
        <f>CONCATENATE("          ", "6235", " - ", "COVID-19 EXPENSES")</f>
        <v xml:space="preserve">          6235 - COVID-19 EXPENSES</v>
      </c>
      <c r="C94" s="11"/>
      <c r="D94" s="6">
        <v>8993.76</v>
      </c>
      <c r="E94" s="2"/>
      <c r="F94" s="7">
        <f t="shared" si="61"/>
        <v>0.16488086791909071</v>
      </c>
      <c r="G94" s="2"/>
      <c r="H94" s="6">
        <v>12200</v>
      </c>
      <c r="I94" s="2"/>
      <c r="J94" s="7">
        <f t="shared" si="62"/>
        <v>8.5633265013897855E-2</v>
      </c>
      <c r="K94" s="2"/>
      <c r="L94" s="6">
        <f t="shared" si="63"/>
        <v>-3206.24</v>
      </c>
      <c r="M94" s="2"/>
      <c r="N94" s="7">
        <f t="shared" si="64"/>
        <v>-0.26280655737704917</v>
      </c>
      <c r="O94" s="11"/>
      <c r="P94" s="6">
        <v>14495.7</v>
      </c>
      <c r="Q94" s="2"/>
      <c r="R94" s="7">
        <f t="shared" si="65"/>
        <v>0.19366371475694338</v>
      </c>
      <c r="S94" s="2"/>
      <c r="T94" s="6">
        <v>17400</v>
      </c>
      <c r="U94" s="2"/>
      <c r="V94" s="7">
        <f t="shared" si="66"/>
        <v>0.11852618815691777</v>
      </c>
      <c r="W94" s="2"/>
      <c r="X94" s="6">
        <f t="shared" si="67"/>
        <v>-2904.2999999999993</v>
      </c>
      <c r="Y94" s="2"/>
      <c r="Z94" s="7">
        <f t="shared" si="68"/>
        <v>-0.16691379310344823</v>
      </c>
    </row>
    <row r="95" spans="1:26" s="24" customFormat="1" hidden="1" outlineLevel="2" x14ac:dyDescent="0.25">
      <c r="A95" s="27"/>
      <c r="B95" s="11" t="str">
        <f>CONCATENATE("          ", "6237", " - ", "JANITORIAL SUPPLIES")</f>
        <v xml:space="preserve">          6237 - JANITORIAL SUPPLIES</v>
      </c>
      <c r="C95" s="11"/>
      <c r="D95" s="6">
        <v>1416.91</v>
      </c>
      <c r="E95" s="2"/>
      <c r="F95" s="7">
        <f t="shared" si="61"/>
        <v>2.5975937823917786E-2</v>
      </c>
      <c r="G95" s="2"/>
      <c r="H95" s="6">
        <v>10719</v>
      </c>
      <c r="I95" s="2"/>
      <c r="J95" s="7">
        <f t="shared" si="62"/>
        <v>7.5237948170817304E-2</v>
      </c>
      <c r="K95" s="2"/>
      <c r="L95" s="6">
        <f t="shared" si="63"/>
        <v>-9302.09</v>
      </c>
      <c r="M95" s="2"/>
      <c r="N95" s="7">
        <f t="shared" si="64"/>
        <v>-0.86781322884597445</v>
      </c>
      <c r="O95" s="11"/>
      <c r="P95" s="6">
        <v>2604.9499999999998</v>
      </c>
      <c r="Q95" s="2"/>
      <c r="R95" s="7">
        <f t="shared" si="65"/>
        <v>3.480234095325508E-2</v>
      </c>
      <c r="S95" s="2"/>
      <c r="T95" s="6">
        <v>15242</v>
      </c>
      <c r="U95" s="2"/>
      <c r="V95" s="7">
        <f t="shared" si="66"/>
        <v>0.10382621608550234</v>
      </c>
      <c r="W95" s="2"/>
      <c r="X95" s="6">
        <f t="shared" si="67"/>
        <v>-12637.05</v>
      </c>
      <c r="Y95" s="2"/>
      <c r="Z95" s="7">
        <f t="shared" si="68"/>
        <v>-0.82909395092507543</v>
      </c>
    </row>
    <row r="96" spans="1:26" s="24" customFormat="1" hidden="1" outlineLevel="2" x14ac:dyDescent="0.25">
      <c r="A96" s="27"/>
      <c r="B96" s="11" t="str">
        <f>CONCATENATE("          ", "6239", " - ", "KITCHEN SUPPLIES")</f>
        <v xml:space="preserve">          6239 - KITCHEN SUPPLIES</v>
      </c>
      <c r="C96" s="11"/>
      <c r="D96" s="6">
        <v>2324.31</v>
      </c>
      <c r="E96" s="2"/>
      <c r="F96" s="7">
        <f t="shared" si="61"/>
        <v>4.2611127060653356E-2</v>
      </c>
      <c r="G96" s="2"/>
      <c r="H96" s="6">
        <v>2373</v>
      </c>
      <c r="I96" s="2"/>
      <c r="J96" s="7">
        <f t="shared" si="62"/>
        <v>1.6656371957211445E-2</v>
      </c>
      <c r="K96" s="2"/>
      <c r="L96" s="6">
        <f t="shared" si="63"/>
        <v>-48.690000000000055</v>
      </c>
      <c r="M96" s="2"/>
      <c r="N96" s="7">
        <f t="shared" si="64"/>
        <v>-2.0518331226295851E-2</v>
      </c>
      <c r="O96" s="11"/>
      <c r="P96" s="6">
        <v>2374.31</v>
      </c>
      <c r="Q96" s="2"/>
      <c r="R96" s="7">
        <f t="shared" si="65"/>
        <v>3.17209720527162E-2</v>
      </c>
      <c r="S96" s="2"/>
      <c r="T96" s="6">
        <v>3936</v>
      </c>
      <c r="U96" s="2"/>
      <c r="V96" s="7">
        <f t="shared" si="66"/>
        <v>2.681144118308209E-2</v>
      </c>
      <c r="W96" s="2"/>
      <c r="X96" s="6">
        <f t="shared" si="67"/>
        <v>-1561.69</v>
      </c>
      <c r="Y96" s="2"/>
      <c r="Z96" s="7">
        <f t="shared" si="68"/>
        <v>-0.39677083333333335</v>
      </c>
    </row>
    <row r="97" spans="1:26" s="24" customFormat="1" hidden="1" outlineLevel="2" x14ac:dyDescent="0.25">
      <c r="A97" s="27"/>
      <c r="B97" s="11" t="str">
        <f>CONCATENATE("          ", "6241", " - ", "OFFICE EXPENSE")</f>
        <v xml:space="preserve">          6241 - OFFICE EXPENSE</v>
      </c>
      <c r="C97" s="11"/>
      <c r="D97" s="6">
        <v>-29035.16</v>
      </c>
      <c r="E97" s="2"/>
      <c r="F97" s="7">
        <f t="shared" si="61"/>
        <v>-0.53229598977176018</v>
      </c>
      <c r="G97" s="2"/>
      <c r="H97" s="6">
        <v>5765</v>
      </c>
      <c r="I97" s="2"/>
      <c r="J97" s="7">
        <f t="shared" si="62"/>
        <v>4.0465227279108291E-2</v>
      </c>
      <c r="K97" s="2"/>
      <c r="L97" s="6">
        <f t="shared" si="63"/>
        <v>-34800.160000000003</v>
      </c>
      <c r="M97" s="2"/>
      <c r="N97" s="7">
        <f t="shared" si="64"/>
        <v>-6.0364544666088467</v>
      </c>
      <c r="O97" s="11"/>
      <c r="P97" s="6">
        <v>-29068.36</v>
      </c>
      <c r="Q97" s="2"/>
      <c r="R97" s="7">
        <f t="shared" si="65"/>
        <v>-0.38835562128715018</v>
      </c>
      <c r="S97" s="2"/>
      <c r="T97" s="6">
        <v>6584</v>
      </c>
      <c r="U97" s="2"/>
      <c r="V97" s="7">
        <f t="shared" si="66"/>
        <v>4.4849219702594631E-2</v>
      </c>
      <c r="W97" s="2"/>
      <c r="X97" s="6">
        <f t="shared" si="67"/>
        <v>-35652.36</v>
      </c>
      <c r="Y97" s="2"/>
      <c r="Z97" s="7">
        <f t="shared" si="68"/>
        <v>-5.415</v>
      </c>
    </row>
    <row r="98" spans="1:26" s="24" customFormat="1" hidden="1" outlineLevel="2" x14ac:dyDescent="0.25">
      <c r="A98" s="27"/>
      <c r="B98" s="11" t="str">
        <f>CONCATENATE("          ", "6243", " - ", "PAPER SUPPLIES")</f>
        <v xml:space="preserve">          6243 - PAPER SUPPLIES</v>
      </c>
      <c r="C98" s="11"/>
      <c r="D98" s="6">
        <v>3012.29</v>
      </c>
      <c r="E98" s="2"/>
      <c r="F98" s="7">
        <f t="shared" si="61"/>
        <v>5.5223731745565566E-2</v>
      </c>
      <c r="G98" s="2"/>
      <c r="H98" s="6">
        <v>1001</v>
      </c>
      <c r="I98" s="2"/>
      <c r="J98" s="7">
        <f t="shared" si="62"/>
        <v>7.0261392031894885E-3</v>
      </c>
      <c r="K98" s="2"/>
      <c r="L98" s="6">
        <f t="shared" si="63"/>
        <v>2011.29</v>
      </c>
      <c r="M98" s="2"/>
      <c r="N98" s="7">
        <f t="shared" si="64"/>
        <v>2.0092807192807194</v>
      </c>
      <c r="O98" s="11"/>
      <c r="P98" s="6">
        <v>3660.17</v>
      </c>
      <c r="Q98" s="2"/>
      <c r="R98" s="7">
        <f t="shared" si="65"/>
        <v>4.8900164796589436E-2</v>
      </c>
      <c r="S98" s="2"/>
      <c r="T98" s="6">
        <v>1860</v>
      </c>
      <c r="U98" s="2"/>
      <c r="V98" s="7">
        <f t="shared" si="66"/>
        <v>1.2670040802980866E-2</v>
      </c>
      <c r="W98" s="2"/>
      <c r="X98" s="6">
        <f t="shared" si="67"/>
        <v>1800.17</v>
      </c>
      <c r="Y98" s="2"/>
      <c r="Z98" s="7">
        <f t="shared" si="68"/>
        <v>0.96783333333333332</v>
      </c>
    </row>
    <row r="99" spans="1:26" s="24" customFormat="1" hidden="1" outlineLevel="2" x14ac:dyDescent="0.25">
      <c r="A99" s="27"/>
      <c r="B99" s="11" t="str">
        <f>CONCATENATE("          ", "6244", " - ", "SAFETY SUPPLY EXPENSE")</f>
        <v xml:space="preserve">          6244 - SAFETY SUPPLY EXPENSE</v>
      </c>
      <c r="C99" s="11"/>
      <c r="D99" s="6"/>
      <c r="E99" s="2"/>
      <c r="F99" s="7">
        <f t="shared" si="61"/>
        <v>0</v>
      </c>
      <c r="G99" s="2"/>
      <c r="H99" s="6">
        <v>100</v>
      </c>
      <c r="I99" s="2"/>
      <c r="J99" s="7">
        <f t="shared" si="62"/>
        <v>7.0191200831063816E-4</v>
      </c>
      <c r="K99" s="2"/>
      <c r="L99" s="6">
        <f t="shared" si="63"/>
        <v>-100</v>
      </c>
      <c r="M99" s="2"/>
      <c r="N99" s="7">
        <f t="shared" si="64"/>
        <v>-1</v>
      </c>
      <c r="O99" s="11"/>
      <c r="P99" s="6"/>
      <c r="Q99" s="2"/>
      <c r="R99" s="7">
        <f t="shared" si="65"/>
        <v>0</v>
      </c>
      <c r="S99" s="2"/>
      <c r="T99" s="6">
        <v>280</v>
      </c>
      <c r="U99" s="2"/>
      <c r="V99" s="7">
        <f t="shared" si="66"/>
        <v>1.9073179703412056E-3</v>
      </c>
      <c r="W99" s="2"/>
      <c r="X99" s="6">
        <f t="shared" si="67"/>
        <v>-280</v>
      </c>
      <c r="Y99" s="2"/>
      <c r="Z99" s="7">
        <f t="shared" si="68"/>
        <v>-1</v>
      </c>
    </row>
    <row r="100" spans="1:26" s="24" customFormat="1" hidden="1" outlineLevel="2" x14ac:dyDescent="0.25">
      <c r="A100" s="27"/>
      <c r="B100" s="11" t="str">
        <f>CONCATENATE("          ", "6245", " - ", "PRINTING")</f>
        <v xml:space="preserve">          6245 - PRINTING</v>
      </c>
      <c r="C100" s="11"/>
      <c r="D100" s="6"/>
      <c r="E100" s="2"/>
      <c r="F100" s="7">
        <f t="shared" si="61"/>
        <v>0</v>
      </c>
      <c r="G100" s="2"/>
      <c r="H100" s="6">
        <v>650</v>
      </c>
      <c r="I100" s="2"/>
      <c r="J100" s="7">
        <f t="shared" si="62"/>
        <v>4.562428054019148E-3</v>
      </c>
      <c r="K100" s="2"/>
      <c r="L100" s="6">
        <f t="shared" si="63"/>
        <v>-650</v>
      </c>
      <c r="M100" s="2"/>
      <c r="N100" s="7">
        <f t="shared" si="64"/>
        <v>-1</v>
      </c>
      <c r="O100" s="11"/>
      <c r="P100" s="6"/>
      <c r="Q100" s="2"/>
      <c r="R100" s="7">
        <f t="shared" si="65"/>
        <v>0</v>
      </c>
      <c r="S100" s="2"/>
      <c r="T100" s="6">
        <v>1300</v>
      </c>
      <c r="U100" s="2"/>
      <c r="V100" s="7">
        <f t="shared" si="66"/>
        <v>8.8554048622984539E-3</v>
      </c>
      <c r="W100" s="2"/>
      <c r="X100" s="6">
        <f t="shared" si="67"/>
        <v>-1300</v>
      </c>
      <c r="Y100" s="2"/>
      <c r="Z100" s="7">
        <f t="shared" si="68"/>
        <v>-1</v>
      </c>
    </row>
    <row r="101" spans="1:26" s="24" customFormat="1" hidden="1" outlineLevel="2" x14ac:dyDescent="0.25">
      <c r="A101" s="27"/>
      <c r="B101" s="11" t="str">
        <f>CONCATENATE("          ", "6246", " - ", "REPLACEMENTS")</f>
        <v xml:space="preserve">          6246 - REPLACEMENTS</v>
      </c>
      <c r="C101" s="11"/>
      <c r="D101" s="6"/>
      <c r="E101" s="2"/>
      <c r="F101" s="7">
        <f t="shared" si="61"/>
        <v>0</v>
      </c>
      <c r="G101" s="2"/>
      <c r="H101" s="6">
        <v>0</v>
      </c>
      <c r="I101" s="2"/>
      <c r="J101" s="7">
        <f t="shared" si="62"/>
        <v>0</v>
      </c>
      <c r="K101" s="2"/>
      <c r="L101" s="6">
        <f t="shared" si="63"/>
        <v>0</v>
      </c>
      <c r="M101" s="2"/>
      <c r="N101" s="7">
        <f t="shared" si="64"/>
        <v>0</v>
      </c>
      <c r="O101" s="11"/>
      <c r="P101" s="6"/>
      <c r="Q101" s="2"/>
      <c r="R101" s="7">
        <f t="shared" si="65"/>
        <v>0</v>
      </c>
      <c r="S101" s="2"/>
      <c r="T101" s="6">
        <v>0</v>
      </c>
      <c r="U101" s="2"/>
      <c r="V101" s="7">
        <f t="shared" si="66"/>
        <v>0</v>
      </c>
      <c r="W101" s="2"/>
      <c r="X101" s="6">
        <f t="shared" si="67"/>
        <v>0</v>
      </c>
      <c r="Y101" s="2"/>
      <c r="Z101" s="7">
        <f t="shared" si="68"/>
        <v>0</v>
      </c>
    </row>
    <row r="102" spans="1:26" s="24" customFormat="1" hidden="1" outlineLevel="2" x14ac:dyDescent="0.25">
      <c r="A102" s="27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61"/>
        <v>0</v>
      </c>
      <c r="G102" s="2"/>
      <c r="H102" s="6">
        <v>429</v>
      </c>
      <c r="I102" s="2"/>
      <c r="J102" s="7">
        <f t="shared" si="62"/>
        <v>3.0112025156526379E-3</v>
      </c>
      <c r="K102" s="2"/>
      <c r="L102" s="6">
        <f t="shared" si="63"/>
        <v>-429</v>
      </c>
      <c r="M102" s="2"/>
      <c r="N102" s="7">
        <f t="shared" si="64"/>
        <v>-1</v>
      </c>
      <c r="O102" s="11"/>
      <c r="P102" s="6"/>
      <c r="Q102" s="2"/>
      <c r="R102" s="7">
        <f t="shared" si="65"/>
        <v>0</v>
      </c>
      <c r="S102" s="2"/>
      <c r="T102" s="6">
        <v>429</v>
      </c>
      <c r="U102" s="2"/>
      <c r="V102" s="7">
        <f t="shared" si="66"/>
        <v>2.92228360455849E-3</v>
      </c>
      <c r="W102" s="2"/>
      <c r="X102" s="6">
        <f t="shared" si="67"/>
        <v>-429</v>
      </c>
      <c r="Y102" s="2"/>
      <c r="Z102" s="7">
        <f t="shared" si="68"/>
        <v>-1</v>
      </c>
    </row>
    <row r="103" spans="1:26" s="24" customFormat="1" hidden="1" outlineLevel="2" x14ac:dyDescent="0.25">
      <c r="A103" s="27"/>
      <c r="B103" s="11" t="str">
        <f>CONCATENATE("          ", "6248", " - ", "UNIFORMS")</f>
        <v xml:space="preserve">          6248 - UNIFORMS</v>
      </c>
      <c r="C103" s="11"/>
      <c r="D103" s="6">
        <v>3510.98</v>
      </c>
      <c r="E103" s="2"/>
      <c r="F103" s="7">
        <f t="shared" si="61"/>
        <v>6.436611935904106E-2</v>
      </c>
      <c r="G103" s="2"/>
      <c r="H103" s="6">
        <v>500</v>
      </c>
      <c r="I103" s="2"/>
      <c r="J103" s="7">
        <f t="shared" si="62"/>
        <v>3.5095600415531907E-3</v>
      </c>
      <c r="K103" s="2"/>
      <c r="L103" s="6">
        <f t="shared" si="63"/>
        <v>3010.98</v>
      </c>
      <c r="M103" s="2"/>
      <c r="N103" s="7">
        <f t="shared" si="64"/>
        <v>6.02196</v>
      </c>
      <c r="O103" s="11"/>
      <c r="P103" s="6">
        <v>3510.98</v>
      </c>
      <c r="Q103" s="2"/>
      <c r="R103" s="7">
        <f t="shared" si="65"/>
        <v>4.6906974429474474E-2</v>
      </c>
      <c r="S103" s="2"/>
      <c r="T103" s="6">
        <v>3850</v>
      </c>
      <c r="U103" s="2"/>
      <c r="V103" s="7">
        <f t="shared" si="66"/>
        <v>2.6225622092191578E-2</v>
      </c>
      <c r="W103" s="2"/>
      <c r="X103" s="6">
        <f t="shared" si="67"/>
        <v>-339.02</v>
      </c>
      <c r="Y103" s="2"/>
      <c r="Z103" s="7">
        <f t="shared" si="68"/>
        <v>-8.8057142857142848E-2</v>
      </c>
    </row>
    <row r="104" spans="1:26" s="29" customFormat="1" outlineLevel="1" collapsed="1" x14ac:dyDescent="0.25">
      <c r="A104" s="28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SUM(OSRRefD22_19x_0)</f>
        <v>1861.46</v>
      </c>
      <c r="E104" s="1"/>
      <c r="F104" s="5">
        <f t="shared" ref="F104:F106" si="69">IF(D$12=0,0,D104/D$12)</f>
        <v>3.41257872565724E-2</v>
      </c>
      <c r="G104" s="1"/>
      <c r="H104" s="1">
        <f>SUM(OSRRefH22_19x_0)</f>
        <v>975</v>
      </c>
      <c r="I104" s="1"/>
      <c r="J104" s="5">
        <f t="shared" ref="J104:J106" si="70">IF(H$12=0,0,H104/H$12)</f>
        <v>6.8436420810287224E-3</v>
      </c>
      <c r="K104" s="1"/>
      <c r="L104" s="1">
        <f t="shared" ref="L104:L106" si="71">+D104-H104</f>
        <v>886.46</v>
      </c>
      <c r="M104" s="1"/>
      <c r="N104" s="5">
        <f t="shared" ref="N104:N106" si="72">IF(H104=0,0,L104/H104)</f>
        <v>0.90918974358974358</v>
      </c>
      <c r="O104" s="14"/>
      <c r="P104" s="1">
        <f>SUM(OSRRefP22_19x_0)</f>
        <v>3697.78</v>
      </c>
      <c r="Q104" s="1"/>
      <c r="R104" s="5">
        <f t="shared" ref="R104:R106" si="73">IF(P$12=0,0,P104/P$12)</f>
        <v>4.9402637413435029E-2</v>
      </c>
      <c r="S104" s="1"/>
      <c r="T104" s="1">
        <f>SUM(OSRRefT22_19x_0)</f>
        <v>2042</v>
      </c>
      <c r="U104" s="1"/>
      <c r="V104" s="5">
        <f t="shared" ref="V104:V106" si="74">IF(T$12=0,0,T104/T$12)</f>
        <v>1.3909797483702649E-2</v>
      </c>
      <c r="W104" s="1"/>
      <c r="X104" s="1">
        <f t="shared" ref="X104:X106" si="75">+P104-T104</f>
        <v>1655.7800000000002</v>
      </c>
      <c r="Y104" s="1"/>
      <c r="Z104" s="5">
        <f t="shared" ref="Z104:Z106" si="76">IF(T104=0,0,X104/T104)</f>
        <v>0.81086190009794334</v>
      </c>
    </row>
    <row r="105" spans="1:26" s="24" customFormat="1" hidden="1" outlineLevel="2" x14ac:dyDescent="0.25">
      <c r="A105" s="27"/>
      <c r="B105" s="11" t="str">
        <f>CONCATENATE("          ", "6303", " - ", "DATA PHONE LINES")</f>
        <v xml:space="preserve">          6303 - DATA PHONE LINES</v>
      </c>
      <c r="C105" s="11"/>
      <c r="D105" s="6"/>
      <c r="E105" s="2"/>
      <c r="F105" s="7">
        <f t="shared" si="69"/>
        <v>0</v>
      </c>
      <c r="G105" s="2"/>
      <c r="H105" s="6">
        <v>650</v>
      </c>
      <c r="I105" s="2"/>
      <c r="J105" s="7">
        <f t="shared" si="70"/>
        <v>4.562428054019148E-3</v>
      </c>
      <c r="K105" s="2"/>
      <c r="L105" s="6">
        <f t="shared" si="71"/>
        <v>-650</v>
      </c>
      <c r="M105" s="2"/>
      <c r="N105" s="7">
        <f t="shared" si="72"/>
        <v>-1</v>
      </c>
      <c r="O105" s="11"/>
      <c r="P105" s="6"/>
      <c r="Q105" s="2"/>
      <c r="R105" s="7">
        <f t="shared" si="73"/>
        <v>0</v>
      </c>
      <c r="S105" s="2"/>
      <c r="T105" s="6">
        <v>1242</v>
      </c>
      <c r="U105" s="2"/>
      <c r="V105" s="7">
        <f t="shared" si="74"/>
        <v>8.460317568442061E-3</v>
      </c>
      <c r="W105" s="2"/>
      <c r="X105" s="6">
        <f t="shared" si="75"/>
        <v>-1242</v>
      </c>
      <c r="Y105" s="2"/>
      <c r="Z105" s="7">
        <f t="shared" si="76"/>
        <v>-1</v>
      </c>
    </row>
    <row r="106" spans="1:26" s="24" customFormat="1" hidden="1" outlineLevel="2" x14ac:dyDescent="0.25">
      <c r="A106" s="27"/>
      <c r="B106" s="11" t="str">
        <f>CONCATENATE("          ", "6309", " - ", "TELEPHONE")</f>
        <v xml:space="preserve">          6309 - TELEPHONE</v>
      </c>
      <c r="C106" s="11"/>
      <c r="D106" s="6">
        <v>1861.46</v>
      </c>
      <c r="E106" s="2"/>
      <c r="F106" s="7">
        <f t="shared" si="69"/>
        <v>3.41257872565724E-2</v>
      </c>
      <c r="G106" s="2"/>
      <c r="H106" s="6">
        <v>325</v>
      </c>
      <c r="I106" s="2"/>
      <c r="J106" s="7">
        <f t="shared" si="70"/>
        <v>2.281214027009574E-3</v>
      </c>
      <c r="K106" s="2"/>
      <c r="L106" s="6">
        <f t="shared" si="71"/>
        <v>1536.46</v>
      </c>
      <c r="M106" s="2"/>
      <c r="N106" s="7">
        <f t="shared" si="72"/>
        <v>4.7275692307692312</v>
      </c>
      <c r="O106" s="11"/>
      <c r="P106" s="6">
        <v>3697.78</v>
      </c>
      <c r="Q106" s="2"/>
      <c r="R106" s="7">
        <f t="shared" si="73"/>
        <v>4.9402637413435029E-2</v>
      </c>
      <c r="S106" s="2"/>
      <c r="T106" s="6">
        <v>800</v>
      </c>
      <c r="U106" s="2"/>
      <c r="V106" s="7">
        <f t="shared" si="74"/>
        <v>5.4494799152605871E-3</v>
      </c>
      <c r="W106" s="2"/>
      <c r="X106" s="6">
        <f t="shared" si="75"/>
        <v>2897.78</v>
      </c>
      <c r="Y106" s="2"/>
      <c r="Z106" s="7">
        <f t="shared" si="76"/>
        <v>3.6222250000000003</v>
      </c>
    </row>
    <row r="107" spans="1:26" s="29" customFormat="1" outlineLevel="1" collapsed="1" x14ac:dyDescent="0.25">
      <c r="A107" s="28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SUM(OSRRefD22_20x_0)</f>
        <v>350</v>
      </c>
      <c r="E107" s="1"/>
      <c r="F107" s="5">
        <f t="shared" ref="F107:F111" si="77">IF(D$12=0,0,D107/D$12)</f>
        <v>6.4164825136185256E-3</v>
      </c>
      <c r="G107" s="1"/>
      <c r="H107" s="1">
        <f>SUM(OSRRefH22_20x_0)</f>
        <v>750</v>
      </c>
      <c r="I107" s="1"/>
      <c r="J107" s="5">
        <f t="shared" ref="J107:J111" si="78">IF(H$12=0,0,H107/H$12)</f>
        <v>5.2643400623297865E-3</v>
      </c>
      <c r="K107" s="1"/>
      <c r="L107" s="1">
        <f t="shared" ref="L107:L111" si="79">+D107-H107</f>
        <v>-400</v>
      </c>
      <c r="M107" s="1"/>
      <c r="N107" s="5">
        <f t="shared" ref="N107:N111" si="80">IF(H107=0,0,L107/H107)</f>
        <v>-0.53333333333333333</v>
      </c>
      <c r="O107" s="14"/>
      <c r="P107" s="1">
        <f>SUM(OSRRefP22_20x_0)</f>
        <v>350</v>
      </c>
      <c r="Q107" s="1"/>
      <c r="R107" s="5">
        <f t="shared" ref="R107:R111" si="81">IF(P$12=0,0,P107/P$12)</f>
        <v>4.6760280748725609E-3</v>
      </c>
      <c r="S107" s="1"/>
      <c r="T107" s="1">
        <f>SUM(OSRRefT22_20x_0)</f>
        <v>1150</v>
      </c>
      <c r="U107" s="1"/>
      <c r="V107" s="5">
        <f t="shared" ref="V107:V111" si="82">IF(T$12=0,0,T107/T$12)</f>
        <v>7.8336273781870937E-3</v>
      </c>
      <c r="W107" s="1"/>
      <c r="X107" s="1">
        <f t="shared" ref="X107:X111" si="83">+P107-T107</f>
        <v>-800</v>
      </c>
      <c r="Y107" s="1"/>
      <c r="Z107" s="5">
        <f t="shared" ref="Z107:Z111" si="84">IF(T107=0,0,X107/T107)</f>
        <v>-0.69565217391304346</v>
      </c>
    </row>
    <row r="108" spans="1:26" s="24" customFormat="1" hidden="1" outlineLevel="2" x14ac:dyDescent="0.25">
      <c r="A108" s="27"/>
      <c r="B108" s="11" t="str">
        <f>CONCATENATE("          ", "6376", " - ", "TRAINING")</f>
        <v xml:space="preserve">          6376 - TRAINING</v>
      </c>
      <c r="C108" s="11"/>
      <c r="D108" s="6">
        <v>350</v>
      </c>
      <c r="E108" s="2"/>
      <c r="F108" s="7">
        <f t="shared" si="77"/>
        <v>6.4164825136185256E-3</v>
      </c>
      <c r="G108" s="2"/>
      <c r="H108" s="6">
        <v>750</v>
      </c>
      <c r="I108" s="2"/>
      <c r="J108" s="7">
        <f t="shared" si="78"/>
        <v>5.2643400623297865E-3</v>
      </c>
      <c r="K108" s="2"/>
      <c r="L108" s="6">
        <f t="shared" si="79"/>
        <v>-400</v>
      </c>
      <c r="M108" s="2"/>
      <c r="N108" s="7">
        <f t="shared" si="80"/>
        <v>-0.53333333333333333</v>
      </c>
      <c r="O108" s="11"/>
      <c r="P108" s="6">
        <v>350</v>
      </c>
      <c r="Q108" s="2"/>
      <c r="R108" s="7">
        <f t="shared" si="81"/>
        <v>4.6760280748725609E-3</v>
      </c>
      <c r="S108" s="2"/>
      <c r="T108" s="6">
        <v>1150</v>
      </c>
      <c r="U108" s="2"/>
      <c r="V108" s="7">
        <f t="shared" si="82"/>
        <v>7.8336273781870937E-3</v>
      </c>
      <c r="W108" s="2"/>
      <c r="X108" s="6">
        <f t="shared" si="83"/>
        <v>-800</v>
      </c>
      <c r="Y108" s="2"/>
      <c r="Z108" s="7">
        <f t="shared" si="84"/>
        <v>-0.69565217391304346</v>
      </c>
    </row>
    <row r="109" spans="1:26" s="29" customFormat="1" outlineLevel="1" collapsed="1" x14ac:dyDescent="0.25">
      <c r="A109" s="28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SUM(OSRRefD22_21x_0)</f>
        <v>0</v>
      </c>
      <c r="E109" s="1"/>
      <c r="F109" s="5">
        <f t="shared" si="77"/>
        <v>0</v>
      </c>
      <c r="G109" s="1"/>
      <c r="H109" s="1">
        <f>SUM(OSRRefH22_21x_0)</f>
        <v>300</v>
      </c>
      <c r="I109" s="1"/>
      <c r="J109" s="5">
        <f t="shared" si="78"/>
        <v>2.1057360249319146E-3</v>
      </c>
      <c r="K109" s="1"/>
      <c r="L109" s="1">
        <f t="shared" si="79"/>
        <v>-300</v>
      </c>
      <c r="M109" s="1"/>
      <c r="N109" s="5">
        <f t="shared" si="80"/>
        <v>-1</v>
      </c>
      <c r="O109" s="14"/>
      <c r="P109" s="1">
        <f>SUM(OSRRefP22_21x_0)</f>
        <v>179.69</v>
      </c>
      <c r="Q109" s="1"/>
      <c r="R109" s="5">
        <f t="shared" si="81"/>
        <v>2.4006728136395728E-3</v>
      </c>
      <c r="S109" s="1"/>
      <c r="T109" s="1">
        <f>SUM(OSRRefT22_21x_0)</f>
        <v>600</v>
      </c>
      <c r="U109" s="1"/>
      <c r="V109" s="5">
        <f t="shared" si="82"/>
        <v>4.0871099364454405E-3</v>
      </c>
      <c r="W109" s="1"/>
      <c r="X109" s="1">
        <f t="shared" si="83"/>
        <v>-420.31</v>
      </c>
      <c r="Y109" s="1"/>
      <c r="Z109" s="5">
        <f t="shared" si="84"/>
        <v>-0.70051666666666668</v>
      </c>
    </row>
    <row r="110" spans="1:26" s="24" customFormat="1" hidden="1" outlineLevel="2" x14ac:dyDescent="0.25">
      <c r="A110" s="27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77"/>
        <v>0</v>
      </c>
      <c r="G110" s="2"/>
      <c r="H110" s="6">
        <v>300</v>
      </c>
      <c r="I110" s="2"/>
      <c r="J110" s="7">
        <f t="shared" si="78"/>
        <v>2.1057360249319146E-3</v>
      </c>
      <c r="K110" s="2"/>
      <c r="L110" s="6">
        <f t="shared" si="79"/>
        <v>-300</v>
      </c>
      <c r="M110" s="2"/>
      <c r="N110" s="7">
        <f t="shared" si="80"/>
        <v>-1</v>
      </c>
      <c r="O110" s="11"/>
      <c r="P110" s="6"/>
      <c r="Q110" s="2"/>
      <c r="R110" s="7">
        <f t="shared" si="81"/>
        <v>0</v>
      </c>
      <c r="S110" s="2"/>
      <c r="T110" s="6">
        <v>600</v>
      </c>
      <c r="U110" s="2"/>
      <c r="V110" s="7">
        <f t="shared" si="82"/>
        <v>4.0871099364454405E-3</v>
      </c>
      <c r="W110" s="2"/>
      <c r="X110" s="6">
        <f t="shared" si="83"/>
        <v>-600</v>
      </c>
      <c r="Y110" s="2"/>
      <c r="Z110" s="7">
        <f t="shared" si="84"/>
        <v>-1</v>
      </c>
    </row>
    <row r="111" spans="1:26" s="24" customFormat="1" hidden="1" outlineLevel="2" x14ac:dyDescent="0.25">
      <c r="A111" s="27"/>
      <c r="B111" s="11" t="str">
        <f>CONCATENATE("          ", "6298", " - ", "VEHICLE MILEAGE")</f>
        <v xml:space="preserve">          6298 - VEHICLE MILEAGE</v>
      </c>
      <c r="C111" s="11"/>
      <c r="D111" s="6"/>
      <c r="E111" s="2"/>
      <c r="F111" s="7">
        <f t="shared" si="77"/>
        <v>0</v>
      </c>
      <c r="G111" s="2"/>
      <c r="H111" s="6"/>
      <c r="I111" s="2"/>
      <c r="J111" s="7">
        <f t="shared" si="78"/>
        <v>0</v>
      </c>
      <c r="K111" s="2"/>
      <c r="L111" s="6">
        <f t="shared" si="79"/>
        <v>0</v>
      </c>
      <c r="M111" s="2"/>
      <c r="N111" s="7">
        <f t="shared" si="80"/>
        <v>0</v>
      </c>
      <c r="O111" s="11"/>
      <c r="P111" s="6">
        <v>179.69</v>
      </c>
      <c r="Q111" s="2"/>
      <c r="R111" s="7">
        <f t="shared" si="81"/>
        <v>2.4006728136395728E-3</v>
      </c>
      <c r="S111" s="2"/>
      <c r="T111" s="6"/>
      <c r="U111" s="2"/>
      <c r="V111" s="7">
        <f t="shared" si="82"/>
        <v>0</v>
      </c>
      <c r="W111" s="2"/>
      <c r="X111" s="6">
        <f t="shared" si="83"/>
        <v>179.69</v>
      </c>
      <c r="Y111" s="2"/>
      <c r="Z111" s="7">
        <f t="shared" si="84"/>
        <v>0</v>
      </c>
    </row>
    <row r="112" spans="1:26" s="29" customFormat="1" outlineLevel="1" collapsed="1" x14ac:dyDescent="0.25">
      <c r="A112" s="28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SUM(OSRRefD22_22x_0)</f>
        <v>2300</v>
      </c>
      <c r="E112" s="1"/>
      <c r="F112" s="5">
        <f t="shared" ref="F112:F113" si="85">IF(D$12=0,0,D112/D$12)</f>
        <v>4.2165456518064595E-2</v>
      </c>
      <c r="G112" s="1"/>
      <c r="H112" s="1">
        <f>SUM(OSRRefH22_22x_0)</f>
        <v>3300</v>
      </c>
      <c r="I112" s="1"/>
      <c r="J112" s="5">
        <f t="shared" ref="J112:J113" si="86">IF(H$12=0,0,H112/H$12)</f>
        <v>2.316309627425106E-2</v>
      </c>
      <c r="K112" s="1"/>
      <c r="L112" s="1">
        <f t="shared" ref="L112:L113" si="87">+D112-H112</f>
        <v>-1000</v>
      </c>
      <c r="M112" s="1"/>
      <c r="N112" s="5">
        <f t="shared" ref="N112:N113" si="88">IF(H112=0,0,L112/H112)</f>
        <v>-0.30303030303030304</v>
      </c>
      <c r="O112" s="14"/>
      <c r="P112" s="1">
        <f>SUM(OSRRefP22_22x_0)</f>
        <v>4600</v>
      </c>
      <c r="Q112" s="1"/>
      <c r="R112" s="5">
        <f t="shared" ref="R112:R113" si="89">IF(P$12=0,0,P112/P$12)</f>
        <v>6.1456368984039375E-2</v>
      </c>
      <c r="S112" s="1"/>
      <c r="T112" s="1">
        <f>SUM(OSRRefT22_22x_0)</f>
        <v>6600</v>
      </c>
      <c r="U112" s="1"/>
      <c r="V112" s="5">
        <f t="shared" ref="V112:V113" si="90">IF(T$12=0,0,T112/T$12)</f>
        <v>4.4958209300899846E-2</v>
      </c>
      <c r="W112" s="1"/>
      <c r="X112" s="1">
        <f t="shared" ref="X112:X113" si="91">+P112-T112</f>
        <v>-2000</v>
      </c>
      <c r="Y112" s="1"/>
      <c r="Z112" s="5">
        <f t="shared" ref="Z112:Z113" si="92">IF(T112=0,0,X112/T112)</f>
        <v>-0.30303030303030304</v>
      </c>
    </row>
    <row r="113" spans="1:26" s="24" customFormat="1" hidden="1" outlineLevel="2" x14ac:dyDescent="0.25">
      <c r="A113" s="27"/>
      <c r="B113" s="11" t="str">
        <f>CONCATENATE("          ", "6274", " - ", "UTILITIES")</f>
        <v xml:space="preserve">          6274 - UTILITIES</v>
      </c>
      <c r="C113" s="11"/>
      <c r="D113" s="6">
        <v>2300</v>
      </c>
      <c r="E113" s="2"/>
      <c r="F113" s="7">
        <f t="shared" si="85"/>
        <v>4.2165456518064595E-2</v>
      </c>
      <c r="G113" s="2"/>
      <c r="H113" s="6">
        <v>3300</v>
      </c>
      <c r="I113" s="2"/>
      <c r="J113" s="7">
        <f t="shared" si="86"/>
        <v>2.316309627425106E-2</v>
      </c>
      <c r="K113" s="2"/>
      <c r="L113" s="6">
        <f t="shared" si="87"/>
        <v>-1000</v>
      </c>
      <c r="M113" s="2"/>
      <c r="N113" s="7">
        <f t="shared" si="88"/>
        <v>-0.30303030303030304</v>
      </c>
      <c r="O113" s="11"/>
      <c r="P113" s="6">
        <v>4600</v>
      </c>
      <c r="Q113" s="2"/>
      <c r="R113" s="7">
        <f t="shared" si="89"/>
        <v>6.1456368984039375E-2</v>
      </c>
      <c r="S113" s="2"/>
      <c r="T113" s="6">
        <v>6600</v>
      </c>
      <c r="U113" s="2"/>
      <c r="V113" s="7">
        <f t="shared" si="90"/>
        <v>4.4958209300899846E-2</v>
      </c>
      <c r="W113" s="2"/>
      <c r="X113" s="6">
        <f t="shared" si="91"/>
        <v>-2000</v>
      </c>
      <c r="Y113" s="2"/>
      <c r="Z113" s="7">
        <f t="shared" si="92"/>
        <v>-0.30303030303030304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2" customFormat="1" collapsed="1" x14ac:dyDescent="0.25">
      <c r="A115" s="10"/>
      <c r="B115" s="25" t="s">
        <v>0</v>
      </c>
      <c r="C115" s="10"/>
      <c r="D115" s="4">
        <f>SUM(OSRRefD25x_0)</f>
        <v>737.84999999999991</v>
      </c>
      <c r="E115" s="4"/>
      <c r="F115" s="12">
        <f t="shared" ref="F115:F118" si="93">IF(D$12=0,0,D115/D$12)</f>
        <v>1.3526861779066939E-2</v>
      </c>
      <c r="G115" s="4"/>
      <c r="H115" s="4">
        <f>SUM(OSRRefH25x_0)</f>
        <v>0</v>
      </c>
      <c r="I115" s="4"/>
      <c r="J115" s="12">
        <f t="shared" ref="J115:J118" si="94">IF(H$12=0,0,H115/H$12)</f>
        <v>0</v>
      </c>
      <c r="K115" s="4"/>
      <c r="L115" s="4">
        <f t="shared" ref="L115:L118" si="95">+D115-H115</f>
        <v>737.84999999999991</v>
      </c>
      <c r="M115" s="4"/>
      <c r="N115" s="12">
        <f t="shared" ref="N115:N118" si="96">IF(H115=0,0,L115/H115)</f>
        <v>0</v>
      </c>
      <c r="O115" s="10"/>
      <c r="P115" s="4">
        <f>SUM(OSRRefP25x_0)</f>
        <v>2814.39</v>
      </c>
      <c r="Q115" s="4"/>
      <c r="R115" s="12">
        <f t="shared" ref="R115:R118" si="97">IF(P$12=0,0,P115/P$12)</f>
        <v>3.7600476153258816E-2</v>
      </c>
      <c r="S115" s="4"/>
      <c r="T115" s="4">
        <f>SUM(OSRRefT25x_0)</f>
        <v>0</v>
      </c>
      <c r="U115" s="4"/>
      <c r="V115" s="12">
        <f t="shared" ref="V115:V118" si="98">IF(T$12=0,0,T115/T$12)</f>
        <v>0</v>
      </c>
      <c r="W115" s="4"/>
      <c r="X115" s="4">
        <f t="shared" ref="X115:X118" si="99">+P115-T115</f>
        <v>2814.39</v>
      </c>
      <c r="Y115" s="4"/>
      <c r="Z115" s="12">
        <f t="shared" ref="Z115:Z118" si="100">IF(T115=0,0,X115/T115)</f>
        <v>0</v>
      </c>
    </row>
    <row r="116" spans="1:26" s="24" customFormat="1" hidden="1" outlineLevel="1" x14ac:dyDescent="0.25">
      <c r="A116" s="51"/>
      <c r="B116" s="11" t="str">
        <f>CONCATENATE("          ", "9150", " - ", "MISC. INCOME")</f>
        <v xml:space="preserve">          9150 - MISC. INCOME</v>
      </c>
      <c r="C116" s="11"/>
      <c r="D116" s="2">
        <f>--111.42</f>
        <v>111.42</v>
      </c>
      <c r="E116" s="2"/>
      <c r="F116" s="23">
        <f t="shared" si="93"/>
        <v>2.0426413761925034E-3</v>
      </c>
      <c r="G116" s="2"/>
      <c r="H116" s="2">
        <v>0</v>
      </c>
      <c r="I116" s="2"/>
      <c r="J116" s="23">
        <f t="shared" si="94"/>
        <v>0</v>
      </c>
      <c r="K116" s="2"/>
      <c r="L116" s="2">
        <f t="shared" si="95"/>
        <v>111.42</v>
      </c>
      <c r="M116" s="2"/>
      <c r="N116" s="23">
        <f t="shared" si="96"/>
        <v>0</v>
      </c>
      <c r="O116" s="11"/>
      <c r="P116" s="2">
        <f>--623.83</f>
        <v>623.83000000000004</v>
      </c>
      <c r="Q116" s="2"/>
      <c r="R116" s="23">
        <f t="shared" si="97"/>
        <v>8.3344188398507147E-3</v>
      </c>
      <c r="S116" s="2"/>
      <c r="T116" s="2">
        <v>0</v>
      </c>
      <c r="U116" s="2"/>
      <c r="V116" s="23">
        <f t="shared" si="98"/>
        <v>0</v>
      </c>
      <c r="W116" s="2"/>
      <c r="X116" s="2">
        <f t="shared" si="99"/>
        <v>623.83000000000004</v>
      </c>
      <c r="Y116" s="2"/>
      <c r="Z116" s="23">
        <f t="shared" si="100"/>
        <v>0</v>
      </c>
    </row>
    <row r="117" spans="1:26" s="24" customFormat="1" hidden="1" outlineLevel="1" x14ac:dyDescent="0.25">
      <c r="A117" s="51"/>
      <c r="B117" s="11" t="str">
        <f>CONCATENATE("          ", "9160", " - ", "MISC. INCOME")</f>
        <v xml:space="preserve">          9160 - MISC. INCOME</v>
      </c>
      <c r="C117" s="11"/>
      <c r="D117" s="2">
        <f>--626.43</f>
        <v>626.42999999999995</v>
      </c>
      <c r="E117" s="2"/>
      <c r="F117" s="23">
        <f t="shared" si="93"/>
        <v>1.1484220402874435E-2</v>
      </c>
      <c r="G117" s="2"/>
      <c r="H117" s="2"/>
      <c r="I117" s="2"/>
      <c r="J117" s="23">
        <f t="shared" si="94"/>
        <v>0</v>
      </c>
      <c r="K117" s="2"/>
      <c r="L117" s="2">
        <f t="shared" si="95"/>
        <v>626.42999999999995</v>
      </c>
      <c r="M117" s="2"/>
      <c r="N117" s="23">
        <f t="shared" si="96"/>
        <v>0</v>
      </c>
      <c r="O117" s="11"/>
      <c r="P117" s="2">
        <f>--1990.06</f>
        <v>1990.06</v>
      </c>
      <c r="Q117" s="2"/>
      <c r="R117" s="23">
        <f t="shared" si="97"/>
        <v>2.6587361230516825E-2</v>
      </c>
      <c r="S117" s="2"/>
      <c r="T117" s="2"/>
      <c r="U117" s="2"/>
      <c r="V117" s="23">
        <f t="shared" si="98"/>
        <v>0</v>
      </c>
      <c r="W117" s="2"/>
      <c r="X117" s="2">
        <f t="shared" si="99"/>
        <v>1990.06</v>
      </c>
      <c r="Y117" s="2"/>
      <c r="Z117" s="23">
        <f t="shared" si="100"/>
        <v>0</v>
      </c>
    </row>
    <row r="118" spans="1:26" s="24" customFormat="1" hidden="1" outlineLevel="1" x14ac:dyDescent="0.25">
      <c r="A118" s="51"/>
      <c r="B118" s="11" t="str">
        <f>CONCATENATE("          ", "9165", " - ", "OTHER INCOME")</f>
        <v xml:space="preserve">          9165 - OTHER INCOME</v>
      </c>
      <c r="C118" s="11"/>
      <c r="D118" s="2">
        <f>0</f>
        <v>0</v>
      </c>
      <c r="E118" s="2"/>
      <c r="F118" s="23">
        <f t="shared" si="93"/>
        <v>0</v>
      </c>
      <c r="G118" s="2"/>
      <c r="H118" s="2"/>
      <c r="I118" s="2"/>
      <c r="J118" s="23">
        <f t="shared" si="94"/>
        <v>0</v>
      </c>
      <c r="K118" s="2"/>
      <c r="L118" s="2">
        <f t="shared" si="95"/>
        <v>0</v>
      </c>
      <c r="M118" s="2"/>
      <c r="N118" s="23">
        <f t="shared" si="96"/>
        <v>0</v>
      </c>
      <c r="O118" s="11"/>
      <c r="P118" s="2">
        <f>--200.5</f>
        <v>200.5</v>
      </c>
      <c r="Q118" s="2"/>
      <c r="R118" s="23">
        <f t="shared" si="97"/>
        <v>2.6786960828912815E-3</v>
      </c>
      <c r="S118" s="2"/>
      <c r="T118" s="2"/>
      <c r="U118" s="2"/>
      <c r="V118" s="23">
        <f t="shared" si="98"/>
        <v>0</v>
      </c>
      <c r="W118" s="2"/>
      <c r="X118" s="2">
        <f t="shared" si="99"/>
        <v>200.5</v>
      </c>
      <c r="Y118" s="2"/>
      <c r="Z118" s="23">
        <f t="shared" si="100"/>
        <v>0</v>
      </c>
    </row>
    <row r="119" spans="1:26" x14ac:dyDescent="0.25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2" customFormat="1" x14ac:dyDescent="0.25">
      <c r="A120" s="10"/>
      <c r="B120" s="26" t="s">
        <v>3</v>
      </c>
      <c r="C120" s="26"/>
      <c r="D120" s="21">
        <f>+D26-D28+D115</f>
        <v>-277962.58000000007</v>
      </c>
      <c r="E120" s="13"/>
      <c r="F120" s="20">
        <f>IF(D$12=0,0,D120/D$12)</f>
        <v>-5.0958343828865456</v>
      </c>
      <c r="G120" s="13"/>
      <c r="H120" s="21">
        <f>+H26-H28+H115</f>
        <v>-327897.03942470561</v>
      </c>
      <c r="I120" s="13"/>
      <c r="J120" s="20">
        <f>IF(H$12=0,0,H120/H$12)</f>
        <v>-2.3015486946170762</v>
      </c>
      <c r="K120" s="16"/>
      <c r="L120" s="21">
        <f>+D120-H120</f>
        <v>49934.459424705536</v>
      </c>
      <c r="M120" s="16"/>
      <c r="N120" s="20">
        <f>IF(H120=0,0,L120/H120)</f>
        <v>-0.15228700909381615</v>
      </c>
      <c r="O120" s="25"/>
      <c r="P120" s="21">
        <f>+P26-P28+P115</f>
        <v>-580367.9800000001</v>
      </c>
      <c r="Q120" s="13"/>
      <c r="R120" s="20">
        <f>IF(P$12=0,0,P120/P$12)</f>
        <v>-7.7537627663916497</v>
      </c>
      <c r="S120" s="13"/>
      <c r="T120" s="21">
        <f>+T26-T28+T115</f>
        <v>-730207.57539600425</v>
      </c>
      <c r="U120" s="13"/>
      <c r="V120" s="20">
        <f>IF(T$12=0,0,T120/T$12)</f>
        <v>-4.9740643951145698</v>
      </c>
      <c r="W120" s="16"/>
      <c r="X120" s="21">
        <f>+P120-T120</f>
        <v>149839.59539600415</v>
      </c>
      <c r="Y120" s="16"/>
      <c r="Z120" s="20">
        <f>IF(T120=0,0,X120/T120)</f>
        <v>-0.20520137074001668</v>
      </c>
    </row>
    <row r="121" spans="1:26" x14ac:dyDescent="0.25">
      <c r="A121" s="9"/>
      <c r="B121" s="10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2" customFormat="1" x14ac:dyDescent="0.25">
      <c r="A122" s="52"/>
      <c r="B122" s="10" t="s">
        <v>14</v>
      </c>
      <c r="C122" s="10"/>
      <c r="D122" s="4">
        <v>2872.81</v>
      </c>
      <c r="E122" s="4"/>
      <c r="F122" s="12">
        <f>IF(D$12=0,0,D122/D$12)</f>
        <v>5.2666671799852675E-2</v>
      </c>
      <c r="G122" s="4"/>
      <c r="H122" s="4">
        <v>21868</v>
      </c>
      <c r="I122" s="4"/>
      <c r="J122" s="12">
        <f>IF(H$12=0,0,H122/H$12)</f>
        <v>0.15349411797737036</v>
      </c>
      <c r="K122" s="4"/>
      <c r="L122" s="4">
        <f>+D122-H122</f>
        <v>-18995.189999999999</v>
      </c>
      <c r="M122" s="4"/>
      <c r="N122" s="12">
        <f>IF(H122=0,0,L122/H122)</f>
        <v>-0.86862950429851837</v>
      </c>
      <c r="O122" s="10"/>
      <c r="P122" s="4">
        <v>12637.39</v>
      </c>
      <c r="Q122" s="4"/>
      <c r="R122" s="12">
        <f>IF(P$12=0,0,P122/P$12)</f>
        <v>0.16883654409461071</v>
      </c>
      <c r="S122" s="4"/>
      <c r="T122" s="4">
        <v>23974</v>
      </c>
      <c r="U122" s="4"/>
      <c r="V122" s="12">
        <f>IF(T$12=0,0,T122/T$12)</f>
        <v>0.16330728936057165</v>
      </c>
      <c r="W122" s="4"/>
      <c r="X122" s="4">
        <f>+P122-T122</f>
        <v>-11336.61</v>
      </c>
      <c r="Y122" s="4"/>
      <c r="Z122" s="12">
        <f>IF(T122=0,0,X122/T122)</f>
        <v>-0.47287102694585803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2" customFormat="1" ht="15.75" thickBot="1" x14ac:dyDescent="0.3">
      <c r="A124" s="10"/>
      <c r="B124" s="26" t="s">
        <v>4</v>
      </c>
      <c r="C124" s="26"/>
      <c r="D124" s="33">
        <f>+D120-D122</f>
        <v>-280835.39000000007</v>
      </c>
      <c r="E124" s="13"/>
      <c r="F124" s="31">
        <f>IF(D$12=0,0,D124/D$12)</f>
        <v>-5.1485010546863981</v>
      </c>
      <c r="G124" s="13"/>
      <c r="H124" s="33">
        <f>+H120-H122</f>
        <v>-349765.03942470561</v>
      </c>
      <c r="I124" s="13"/>
      <c r="J124" s="31">
        <f>IF(H$12=0,0,H124/H$12)</f>
        <v>-2.4550428125944466</v>
      </c>
      <c r="K124" s="16"/>
      <c r="L124" s="33">
        <f>D124-H124</f>
        <v>68929.649424705538</v>
      </c>
      <c r="M124" s="16"/>
      <c r="N124" s="31">
        <f>IF(H124=0,0,L124/H124)</f>
        <v>-0.19707415451836235</v>
      </c>
      <c r="O124" s="25"/>
      <c r="P124" s="33">
        <f>+P120-P122</f>
        <v>-593005.37000000011</v>
      </c>
      <c r="Q124" s="13"/>
      <c r="R124" s="31">
        <f>IF(P$12=0,0,P124/P$12)</f>
        <v>-7.9225993104862606</v>
      </c>
      <c r="S124" s="13"/>
      <c r="T124" s="33">
        <f>+T120-T122</f>
        <v>-754181.57539600425</v>
      </c>
      <c r="U124" s="13"/>
      <c r="V124" s="31">
        <f>IF(T$12=0,0,T124/T$12)</f>
        <v>-5.1373716844751423</v>
      </c>
      <c r="W124" s="16"/>
      <c r="X124" s="33">
        <f>P124-T124</f>
        <v>161176.20539600414</v>
      </c>
      <c r="Y124" s="16"/>
      <c r="Z124" s="31">
        <f>IF(T124=0,0,X124/T124)</f>
        <v>-0.21371008077381637</v>
      </c>
    </row>
    <row r="125" spans="1:26" ht="15.75" thickTop="1" x14ac:dyDescent="0.25">
      <c r="A125" s="9"/>
      <c r="B125" s="9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2" customFormat="1" ht="15.75" thickBot="1" x14ac:dyDescent="0.3">
      <c r="A127" s="10"/>
      <c r="B127" s="26" t="s">
        <v>5</v>
      </c>
      <c r="C127" s="26"/>
      <c r="D127" s="32">
        <f>SUM(D124:D126)</f>
        <v>-280835.39000000007</v>
      </c>
      <c r="E127" s="13"/>
      <c r="F127" s="35">
        <f>IF(D$12=0,0,D127/D$12)</f>
        <v>-5.1485010546863981</v>
      </c>
      <c r="G127" s="13"/>
      <c r="H127" s="32">
        <f>SUM(H124:H126)</f>
        <v>-349765.03942470561</v>
      </c>
      <c r="I127" s="13"/>
      <c r="J127" s="35">
        <f>IF(H$12=0,0,H127/H$12)</f>
        <v>-2.4550428125944466</v>
      </c>
      <c r="K127" s="16"/>
      <c r="L127" s="32">
        <f>+D127-H127</f>
        <v>68929.649424705538</v>
      </c>
      <c r="M127" s="16"/>
      <c r="N127" s="35">
        <f>IF(H127=0,0,L127/H127)</f>
        <v>-0.19707415451836235</v>
      </c>
      <c r="O127" s="25"/>
      <c r="P127" s="32">
        <f>SUM(P124:P126)</f>
        <v>-593005.37000000011</v>
      </c>
      <c r="Q127" s="13"/>
      <c r="R127" s="35">
        <f>IF(P$12=0,0,P127/P$12)</f>
        <v>-7.9225993104862606</v>
      </c>
      <c r="S127" s="13"/>
      <c r="T127" s="32">
        <f>SUM(T124:T126)</f>
        <v>-754181.57539600425</v>
      </c>
      <c r="U127" s="13"/>
      <c r="V127" s="35">
        <f>IF(T$12=0,0,T127/T$12)</f>
        <v>-5.1373716844751423</v>
      </c>
      <c r="W127" s="16"/>
      <c r="X127" s="32">
        <f>+P127-T127</f>
        <v>161176.20539600414</v>
      </c>
      <c r="Y127" s="16"/>
      <c r="Z127" s="35">
        <f>IF(T127=0,0,X127/T127)</f>
        <v>-0.21371008077381637</v>
      </c>
    </row>
    <row r="128" spans="1:26" ht="15.75" thickTop="1" x14ac:dyDescent="0.25">
      <c r="A128" s="9"/>
      <c r="C128" s="9"/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9">
        <v>44113.689037037038</v>
      </c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A130" s="9"/>
      <c r="B130" s="62" t="s">
        <v>314</v>
      </c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  <row r="131" spans="1:24" x14ac:dyDescent="0.25">
      <c r="A131" s="9"/>
      <c r="B131" s="63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4" x14ac:dyDescent="0.25"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313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5542.9399999999987</v>
      </c>
      <c r="E12" s="4"/>
      <c r="F12" s="12"/>
      <c r="G12" s="4"/>
      <c r="H12" s="4">
        <f>SUM(OSRRefH13x_0)</f>
        <v>13247</v>
      </c>
      <c r="I12" s="4"/>
      <c r="J12" s="12"/>
      <c r="K12" s="4"/>
      <c r="L12" s="4">
        <f t="shared" ref="L12:L20" si="0">+D12-H12</f>
        <v>-7704.0600000000013</v>
      </c>
      <c r="M12" s="4"/>
      <c r="N12" s="12">
        <f t="shared" ref="N12:N20" si="1">IF(H12=0,0,L12/H12)</f>
        <v>-0.58157016683022578</v>
      </c>
      <c r="O12" s="10"/>
      <c r="P12" s="4">
        <f>SUM(OSRRefP13x_0)</f>
        <v>6517.8499999999985</v>
      </c>
      <c r="Q12" s="4"/>
      <c r="R12" s="12"/>
      <c r="S12" s="4"/>
      <c r="T12" s="4">
        <f>SUM(OSRRefT13x_0)</f>
        <v>17632</v>
      </c>
      <c r="U12" s="4"/>
      <c r="V12" s="12"/>
      <c r="W12" s="4"/>
      <c r="X12" s="4">
        <f t="shared" ref="X12:X20" si="2">+P12-T12</f>
        <v>-11114.150000000001</v>
      </c>
      <c r="Y12" s="4"/>
      <c r="Z12" s="12">
        <f t="shared" ref="Z12:Z20" si="3">IF(T12=0,0,X12/T12)</f>
        <v>-0.63033972323049015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3"/>
      <c r="G13" s="2"/>
      <c r="H13" s="2">
        <v>2643</v>
      </c>
      <c r="I13" s="2"/>
      <c r="J13" s="23"/>
      <c r="K13" s="2"/>
      <c r="L13" s="2">
        <f t="shared" si="0"/>
        <v>-2643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3991</v>
      </c>
      <c r="U13" s="2"/>
      <c r="V13" s="23"/>
      <c r="W13" s="2"/>
      <c r="X13" s="2">
        <f t="shared" si="2"/>
        <v>-3991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--88.2</f>
        <v>88.2</v>
      </c>
      <c r="E14" s="2"/>
      <c r="F14" s="23"/>
      <c r="G14" s="2"/>
      <c r="H14" s="2"/>
      <c r="I14" s="2"/>
      <c r="J14" s="23"/>
      <c r="K14" s="2"/>
      <c r="L14" s="2">
        <f t="shared" si="0"/>
        <v>88.2</v>
      </c>
      <c r="M14" s="2"/>
      <c r="N14" s="23">
        <f t="shared" si="1"/>
        <v>0</v>
      </c>
      <c r="O14" s="11"/>
      <c r="P14" s="2">
        <f>--88.2</f>
        <v>88.2</v>
      </c>
      <c r="Q14" s="2"/>
      <c r="R14" s="23"/>
      <c r="S14" s="2"/>
      <c r="T14" s="2"/>
      <c r="U14" s="2"/>
      <c r="V14" s="23"/>
      <c r="W14" s="2"/>
      <c r="X14" s="2">
        <f t="shared" si="2"/>
        <v>88.2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>--2510.72</f>
        <v>2510.7199999999998</v>
      </c>
      <c r="E15" s="2"/>
      <c r="F15" s="23"/>
      <c r="G15" s="2"/>
      <c r="H15" s="2"/>
      <c r="I15" s="2"/>
      <c r="J15" s="23"/>
      <c r="K15" s="2"/>
      <c r="L15" s="2">
        <f t="shared" si="0"/>
        <v>2510.7199999999998</v>
      </c>
      <c r="M15" s="2"/>
      <c r="N15" s="23">
        <f t="shared" si="1"/>
        <v>0</v>
      </c>
      <c r="O15" s="11"/>
      <c r="P15" s="2">
        <f>--2510.72</f>
        <v>2510.7199999999998</v>
      </c>
      <c r="Q15" s="2"/>
      <c r="R15" s="23"/>
      <c r="S15" s="2"/>
      <c r="T15" s="2"/>
      <c r="U15" s="2"/>
      <c r="V15" s="23"/>
      <c r="W15" s="2"/>
      <c r="X15" s="2">
        <f t="shared" si="2"/>
        <v>2510.7199999999998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3"/>
      <c r="G16" s="2"/>
      <c r="H16" s="2"/>
      <c r="I16" s="2"/>
      <c r="J16" s="23"/>
      <c r="K16" s="2"/>
      <c r="L16" s="2">
        <f t="shared" si="0"/>
        <v>0</v>
      </c>
      <c r="M16" s="2"/>
      <c r="N16" s="23">
        <f t="shared" si="1"/>
        <v>0</v>
      </c>
      <c r="O16" s="11"/>
      <c r="P16" s="2">
        <f>--974.91</f>
        <v>974.91</v>
      </c>
      <c r="Q16" s="2"/>
      <c r="R16" s="23"/>
      <c r="S16" s="2"/>
      <c r="T16" s="2"/>
      <c r="U16" s="2"/>
      <c r="V16" s="23"/>
      <c r="W16" s="2"/>
      <c r="X16" s="2">
        <f t="shared" si="2"/>
        <v>974.91</v>
      </c>
      <c r="Y16" s="2"/>
      <c r="Z16" s="23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3"/>
      <c r="G17" s="2"/>
      <c r="H17" s="2">
        <v>10604</v>
      </c>
      <c r="I17" s="2"/>
      <c r="J17" s="23"/>
      <c r="K17" s="2"/>
      <c r="L17" s="2">
        <f t="shared" si="0"/>
        <v>-10604</v>
      </c>
      <c r="M17" s="2"/>
      <c r="N17" s="23">
        <f t="shared" si="1"/>
        <v>-1</v>
      </c>
      <c r="O17" s="11"/>
      <c r="P17" s="2">
        <f>0</f>
        <v>0</v>
      </c>
      <c r="Q17" s="2"/>
      <c r="R17" s="23"/>
      <c r="S17" s="2"/>
      <c r="T17" s="2">
        <v>13641</v>
      </c>
      <c r="U17" s="2"/>
      <c r="V17" s="23"/>
      <c r="W17" s="2"/>
      <c r="X17" s="2">
        <f t="shared" si="2"/>
        <v>-13641</v>
      </c>
      <c r="Y17" s="2"/>
      <c r="Z17" s="23">
        <f t="shared" si="3"/>
        <v>-1</v>
      </c>
    </row>
    <row r="18" spans="1:26" s="24" customFormat="1" hidden="1" outlineLevel="1" x14ac:dyDescent="0.25">
      <c r="A18" s="51"/>
      <c r="B18" s="11" t="str">
        <f>CONCATENATE("          ", "4132", " - ", "NON-TAXABLE SALES-JUICE")</f>
        <v xml:space="preserve">          4132 - NON-TAXABLE SALES-JUICE</v>
      </c>
      <c r="C18" s="11"/>
      <c r="D18" s="2">
        <f>--625.8</f>
        <v>625.79999999999995</v>
      </c>
      <c r="E18" s="2"/>
      <c r="F18" s="23"/>
      <c r="G18" s="2"/>
      <c r="H18" s="2"/>
      <c r="I18" s="2"/>
      <c r="J18" s="23"/>
      <c r="K18" s="2"/>
      <c r="L18" s="2">
        <f t="shared" si="0"/>
        <v>625.79999999999995</v>
      </c>
      <c r="M18" s="2"/>
      <c r="N18" s="23">
        <f t="shared" si="1"/>
        <v>0</v>
      </c>
      <c r="O18" s="11"/>
      <c r="P18" s="2">
        <f>--625.8</f>
        <v>625.79999999999995</v>
      </c>
      <c r="Q18" s="2"/>
      <c r="R18" s="23"/>
      <c r="S18" s="2"/>
      <c r="T18" s="2"/>
      <c r="U18" s="2"/>
      <c r="V18" s="23"/>
      <c r="W18" s="2"/>
      <c r="X18" s="2">
        <f t="shared" si="2"/>
        <v>625.79999999999995</v>
      </c>
      <c r="Y18" s="2"/>
      <c r="Z18" s="23">
        <f t="shared" si="3"/>
        <v>0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--2208.22</f>
        <v>2208.2199999999998</v>
      </c>
      <c r="E19" s="2"/>
      <c r="F19" s="23"/>
      <c r="G19" s="2"/>
      <c r="H19" s="2"/>
      <c r="I19" s="2"/>
      <c r="J19" s="23"/>
      <c r="K19" s="2"/>
      <c r="L19" s="2">
        <f t="shared" si="0"/>
        <v>2208.2199999999998</v>
      </c>
      <c r="M19" s="2"/>
      <c r="N19" s="23">
        <f t="shared" si="1"/>
        <v>0</v>
      </c>
      <c r="O19" s="11"/>
      <c r="P19" s="2">
        <f>--2208.22</f>
        <v>2208.2199999999998</v>
      </c>
      <c r="Q19" s="2"/>
      <c r="R19" s="23"/>
      <c r="S19" s="2"/>
      <c r="T19" s="2"/>
      <c r="U19" s="2"/>
      <c r="V19" s="23"/>
      <c r="W19" s="2"/>
      <c r="X19" s="2">
        <f t="shared" si="2"/>
        <v>2208.2199999999998</v>
      </c>
      <c r="Y19" s="2"/>
      <c r="Z19" s="23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--110</f>
        <v>110</v>
      </c>
      <c r="E20" s="2"/>
      <c r="F20" s="23"/>
      <c r="G20" s="2"/>
      <c r="H20" s="2"/>
      <c r="I20" s="2"/>
      <c r="J20" s="23"/>
      <c r="K20" s="2"/>
      <c r="L20" s="2">
        <f t="shared" si="0"/>
        <v>110</v>
      </c>
      <c r="M20" s="2"/>
      <c r="N20" s="23">
        <f t="shared" si="1"/>
        <v>0</v>
      </c>
      <c r="O20" s="11"/>
      <c r="P20" s="2">
        <f>--110</f>
        <v>110</v>
      </c>
      <c r="Q20" s="2"/>
      <c r="R20" s="23"/>
      <c r="S20" s="2"/>
      <c r="T20" s="2"/>
      <c r="U20" s="2"/>
      <c r="V20" s="23"/>
      <c r="W20" s="2"/>
      <c r="X20" s="2">
        <f t="shared" si="2"/>
        <v>110</v>
      </c>
      <c r="Y20" s="2"/>
      <c r="Z20" s="23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collapsed="1" x14ac:dyDescent="0.25">
      <c r="A22" s="10"/>
      <c r="B22" s="25" t="s">
        <v>8</v>
      </c>
      <c r="C22" s="10"/>
      <c r="D22" s="4">
        <f>SUM(OSRRefD16x_0)</f>
        <v>2203.17</v>
      </c>
      <c r="E22" s="4"/>
      <c r="F22" s="12">
        <f t="shared" ref="F22:F25" si="5">IF(D$12=0,0,D22/D$12)</f>
        <v>0.39747318210191712</v>
      </c>
      <c r="G22" s="4"/>
      <c r="H22" s="4">
        <f>SUM(OSRRefH16x_0)</f>
        <v>5553</v>
      </c>
      <c r="I22" s="4"/>
      <c r="J22" s="12">
        <f t="shared" ref="J22:J25" si="6">IF(H$12=0,0,H22/H$12)</f>
        <v>0.41918925039631616</v>
      </c>
      <c r="K22" s="4"/>
      <c r="L22" s="4">
        <f t="shared" ref="L22:L25" si="7">+D22-H22</f>
        <v>-3349.83</v>
      </c>
      <c r="M22" s="4"/>
      <c r="N22" s="12">
        <f t="shared" ref="N22:N25" si="8">IF(H22=0,0,L22/H22)</f>
        <v>-0.60324689357104266</v>
      </c>
      <c r="O22" s="10"/>
      <c r="P22" s="4">
        <f>SUM(OSRRefP16x_0)</f>
        <v>1976.3000000000002</v>
      </c>
      <c r="Q22" s="4"/>
      <c r="R22" s="12">
        <f t="shared" ref="R22:R25" si="9">IF(P$12=0,0,P22/P$12)</f>
        <v>0.30321348297368006</v>
      </c>
      <c r="S22" s="4"/>
      <c r="T22" s="4">
        <f>SUM(OSRRefT16x_0)</f>
        <v>6618</v>
      </c>
      <c r="U22" s="4"/>
      <c r="V22" s="12">
        <f t="shared" ref="V22:V25" si="10">IF(T$12=0,0,T22/T$12)</f>
        <v>0.37534029038112521</v>
      </c>
      <c r="W22" s="4"/>
      <c r="X22" s="4">
        <f t="shared" ref="X22:X25" si="11">+P22-T22</f>
        <v>-4641.7</v>
      </c>
      <c r="Y22" s="4"/>
      <c r="Z22" s="12">
        <f t="shared" ref="Z22:Z25" si="12">IF(T22=0,0,X22/T22)</f>
        <v>-0.70137503777576304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3">
        <f t="shared" si="5"/>
        <v>0</v>
      </c>
      <c r="G23" s="2"/>
      <c r="H23" s="2">
        <v>5553</v>
      </c>
      <c r="I23" s="2"/>
      <c r="J23" s="23">
        <f t="shared" si="6"/>
        <v>0.41918925039631616</v>
      </c>
      <c r="K23" s="2"/>
      <c r="L23" s="2">
        <f t="shared" si="7"/>
        <v>-5553</v>
      </c>
      <c r="M23" s="2"/>
      <c r="N23" s="23">
        <f t="shared" si="8"/>
        <v>-1</v>
      </c>
      <c r="O23" s="11"/>
      <c r="P23" s="2"/>
      <c r="Q23" s="2"/>
      <c r="R23" s="23">
        <f t="shared" si="9"/>
        <v>0</v>
      </c>
      <c r="S23" s="2"/>
      <c r="T23" s="2">
        <v>6618</v>
      </c>
      <c r="U23" s="2"/>
      <c r="V23" s="23">
        <f t="shared" si="10"/>
        <v>0.37534029038112521</v>
      </c>
      <c r="W23" s="2"/>
      <c r="X23" s="2">
        <f t="shared" si="11"/>
        <v>-6618</v>
      </c>
      <c r="Y23" s="2"/>
      <c r="Z23" s="23">
        <f t="shared" si="12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2089.2600000000002</v>
      </c>
      <c r="E24" s="2"/>
      <c r="F24" s="23">
        <f t="shared" si="5"/>
        <v>0.37692271610372846</v>
      </c>
      <c r="G24" s="2"/>
      <c r="H24" s="2"/>
      <c r="I24" s="2"/>
      <c r="J24" s="23">
        <f t="shared" si="6"/>
        <v>0</v>
      </c>
      <c r="K24" s="2"/>
      <c r="L24" s="2">
        <f t="shared" si="7"/>
        <v>2089.2600000000002</v>
      </c>
      <c r="M24" s="2"/>
      <c r="N24" s="23">
        <f t="shared" si="8"/>
        <v>0</v>
      </c>
      <c r="O24" s="11"/>
      <c r="P24" s="2">
        <v>1862.39</v>
      </c>
      <c r="Q24" s="2"/>
      <c r="R24" s="23">
        <f t="shared" si="9"/>
        <v>0.28573686108149166</v>
      </c>
      <c r="S24" s="2"/>
      <c r="T24" s="2"/>
      <c r="U24" s="2"/>
      <c r="V24" s="23">
        <f t="shared" si="10"/>
        <v>0</v>
      </c>
      <c r="W24" s="2"/>
      <c r="X24" s="2">
        <f t="shared" si="11"/>
        <v>1862.39</v>
      </c>
      <c r="Y24" s="2"/>
      <c r="Z24" s="23">
        <f t="shared" si="12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113.91</v>
      </c>
      <c r="E25" s="2"/>
      <c r="F25" s="23">
        <f t="shared" si="5"/>
        <v>2.0550465998188692E-2</v>
      </c>
      <c r="G25" s="2"/>
      <c r="H25" s="2"/>
      <c r="I25" s="2"/>
      <c r="J25" s="23">
        <f t="shared" si="6"/>
        <v>0</v>
      </c>
      <c r="K25" s="2"/>
      <c r="L25" s="2">
        <f t="shared" si="7"/>
        <v>113.91</v>
      </c>
      <c r="M25" s="2"/>
      <c r="N25" s="23">
        <f t="shared" si="8"/>
        <v>0</v>
      </c>
      <c r="O25" s="11"/>
      <c r="P25" s="2">
        <v>113.91</v>
      </c>
      <c r="Q25" s="2"/>
      <c r="R25" s="23">
        <f t="shared" si="9"/>
        <v>1.747662189218838E-2</v>
      </c>
      <c r="S25" s="2"/>
      <c r="T25" s="2"/>
      <c r="U25" s="2"/>
      <c r="V25" s="23">
        <f t="shared" si="10"/>
        <v>0</v>
      </c>
      <c r="W25" s="2"/>
      <c r="X25" s="2">
        <f t="shared" si="11"/>
        <v>113.91</v>
      </c>
      <c r="Y25" s="2"/>
      <c r="Z25" s="23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6</v>
      </c>
      <c r="C27" s="26"/>
      <c r="D27" s="21">
        <f>D12-D22</f>
        <v>3339.7699999999986</v>
      </c>
      <c r="E27" s="13"/>
      <c r="F27" s="20">
        <f>IF(D$12=0,0,D27/D$12)</f>
        <v>0.60252681789808282</v>
      </c>
      <c r="G27" s="13"/>
      <c r="H27" s="21">
        <f>H12-H22</f>
        <v>7694</v>
      </c>
      <c r="I27" s="13"/>
      <c r="J27" s="20">
        <f>IF(H$12=0,0,H27/H$12)</f>
        <v>0.58081074960368384</v>
      </c>
      <c r="K27" s="16"/>
      <c r="L27" s="21">
        <f>+D27-H27</f>
        <v>-4354.2300000000014</v>
      </c>
      <c r="M27" s="16"/>
      <c r="N27" s="20">
        <f>IF(H27=0,0,L27/H27)</f>
        <v>-0.56592539641278938</v>
      </c>
      <c r="O27" s="25"/>
      <c r="P27" s="21">
        <f>P12-P22</f>
        <v>4541.5499999999984</v>
      </c>
      <c r="Q27" s="13"/>
      <c r="R27" s="20">
        <f>IF(P$12=0,0,P27/P$12)</f>
        <v>0.69678651702631988</v>
      </c>
      <c r="S27" s="13"/>
      <c r="T27" s="21">
        <f>T12-T22</f>
        <v>11014</v>
      </c>
      <c r="U27" s="13"/>
      <c r="V27" s="20">
        <f>IF(T$12=0,0,T27/T$12)</f>
        <v>0.62465970961887474</v>
      </c>
      <c r="W27" s="16"/>
      <c r="X27" s="21">
        <f>+P27-T27</f>
        <v>-6472.4500000000016</v>
      </c>
      <c r="Y27" s="16"/>
      <c r="Z27" s="20">
        <f>IF(T27=0,0,X27/T27)</f>
        <v>-0.5876566188487381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2" customFormat="1" x14ac:dyDescent="0.25">
      <c r="A29" s="10"/>
      <c r="B29" s="25" t="s">
        <v>9</v>
      </c>
      <c r="C29" s="10"/>
      <c r="D29" s="19">
        <f>SUM(OSRRefD22x_0)</f>
        <v>114815.22</v>
      </c>
      <c r="E29" s="19"/>
      <c r="F29" s="30">
        <f t="shared" ref="F29:F39" si="13">IF(D$12=0,0,D29/D$12)</f>
        <v>20.713776443548014</v>
      </c>
      <c r="G29" s="19"/>
      <c r="H29" s="19">
        <f>SUM(OSRRefH22x_0)</f>
        <v>150553.65604667948</v>
      </c>
      <c r="I29" s="19"/>
      <c r="J29" s="30">
        <f t="shared" ref="J29:J39" si="14">IF(H$12=0,0,H29/H$12)</f>
        <v>11.365113312197439</v>
      </c>
      <c r="K29" s="4"/>
      <c r="L29" s="19">
        <f t="shared" ref="L29:L39" si="15">+D29-H29</f>
        <v>-35738.436046679475</v>
      </c>
      <c r="M29" s="4"/>
      <c r="N29" s="30">
        <f t="shared" ref="N29:N39" si="16">IF(H29=0,0,L29/H29)</f>
        <v>-0.23738006093720301</v>
      </c>
      <c r="O29" s="10"/>
      <c r="P29" s="19">
        <f>SUM(OSRRefP22x_0)</f>
        <v>277215.45</v>
      </c>
      <c r="Q29" s="19"/>
      <c r="R29" s="30">
        <f t="shared" ref="R29:R39" si="17">IF(P$12=0,0,P29/P$12)</f>
        <v>42.531732089569424</v>
      </c>
      <c r="S29" s="19"/>
      <c r="T29" s="19">
        <f>SUM(OSRRefT22x_0)</f>
        <v>299507.46962907049</v>
      </c>
      <c r="U29" s="19"/>
      <c r="V29" s="30">
        <f t="shared" ref="V29:V39" si="18">IF(T$12=0,0,T29/T$12)</f>
        <v>16.986585164988117</v>
      </c>
      <c r="W29" s="4"/>
      <c r="X29" s="19">
        <f t="shared" ref="X29:X39" si="19">+P29-T29</f>
        <v>-22292.019629070477</v>
      </c>
      <c r="Y29" s="4"/>
      <c r="Z29" s="30">
        <f t="shared" ref="Z29:Z39" si="20">IF(T29=0,0,X29/T29)</f>
        <v>-7.4428927120510094E-2</v>
      </c>
    </row>
    <row r="30" spans="1:26" s="29" customFormat="1" outlineLevel="1" collapsed="1" x14ac:dyDescent="0.25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27260.259999999995</v>
      </c>
      <c r="E30" s="1"/>
      <c r="F30" s="5">
        <f t="shared" si="13"/>
        <v>4.9180146276163912</v>
      </c>
      <c r="G30" s="1"/>
      <c r="H30" s="1">
        <f>SUM(OSRRefH22_0x_0)</f>
        <v>20594.659021038467</v>
      </c>
      <c r="I30" s="1"/>
      <c r="J30" s="5">
        <f t="shared" si="14"/>
        <v>1.5546658882040061</v>
      </c>
      <c r="K30" s="1"/>
      <c r="L30" s="1">
        <f t="shared" si="15"/>
        <v>6665.6009789615273</v>
      </c>
      <c r="M30" s="1"/>
      <c r="N30" s="5">
        <f t="shared" si="16"/>
        <v>0.3236567778156601</v>
      </c>
      <c r="O30" s="14"/>
      <c r="P30" s="1">
        <f>SUM(OSRRefP22_0x_0)</f>
        <v>62228.93</v>
      </c>
      <c r="Q30" s="1"/>
      <c r="R30" s="5">
        <f t="shared" si="17"/>
        <v>9.5474627369454677</v>
      </c>
      <c r="S30" s="1"/>
      <c r="T30" s="1">
        <f>SUM(OSRRefT22_0x_0)</f>
        <v>43066.317154711542</v>
      </c>
      <c r="U30" s="1"/>
      <c r="V30" s="5">
        <f t="shared" si="18"/>
        <v>2.4425089130394477</v>
      </c>
      <c r="W30" s="1"/>
      <c r="X30" s="1">
        <f t="shared" si="19"/>
        <v>19162.612845288459</v>
      </c>
      <c r="Y30" s="1"/>
      <c r="Z30" s="5">
        <f t="shared" si="20"/>
        <v>0.44495592173458071</v>
      </c>
    </row>
    <row r="31" spans="1:26" s="24" customFormat="1" hidden="1" outlineLevel="2" x14ac:dyDescent="0.25">
      <c r="A31" s="27"/>
      <c r="B31" s="11" t="str">
        <f>CONCATENATE("          ", "6111", " - ", "F.I.C.A.")</f>
        <v xml:space="preserve">          6111 - F.I.C.A.</v>
      </c>
      <c r="C31" s="11"/>
      <c r="D31" s="6">
        <v>3115.33</v>
      </c>
      <c r="E31" s="2"/>
      <c r="F31" s="7">
        <f t="shared" si="13"/>
        <v>0.5620356706008004</v>
      </c>
      <c r="G31" s="2"/>
      <c r="H31" s="6">
        <v>2645.2197132692309</v>
      </c>
      <c r="I31" s="2"/>
      <c r="J31" s="7">
        <f t="shared" si="14"/>
        <v>0.19968443521319776</v>
      </c>
      <c r="K31" s="2"/>
      <c r="L31" s="6">
        <f t="shared" si="15"/>
        <v>470.11028673076908</v>
      </c>
      <c r="M31" s="2"/>
      <c r="N31" s="7">
        <f t="shared" si="16"/>
        <v>0.17772069532544013</v>
      </c>
      <c r="O31" s="11"/>
      <c r="P31" s="6">
        <v>6591.16</v>
      </c>
      <c r="Q31" s="2"/>
      <c r="R31" s="7">
        <f t="shared" si="17"/>
        <v>1.0112475739699442</v>
      </c>
      <c r="S31" s="2"/>
      <c r="T31" s="6">
        <v>5506.4287209807708</v>
      </c>
      <c r="U31" s="2"/>
      <c r="V31" s="7">
        <f t="shared" si="18"/>
        <v>0.31229745468357367</v>
      </c>
      <c r="W31" s="2"/>
      <c r="X31" s="6">
        <f t="shared" si="19"/>
        <v>1084.7312790192291</v>
      </c>
      <c r="Y31" s="2"/>
      <c r="Z31" s="7">
        <f t="shared" si="20"/>
        <v>0.1969936112831446</v>
      </c>
    </row>
    <row r="32" spans="1:26" s="24" customFormat="1" hidden="1" outlineLevel="2" x14ac:dyDescent="0.25">
      <c r="A32" s="27"/>
      <c r="B32" s="11" t="str">
        <f>CONCATENATE("          ", "6112", " - ", "COMPENSATION INSURANCE")</f>
        <v xml:space="preserve">          6112 - COMPENSATION INSURANCE</v>
      </c>
      <c r="C32" s="11"/>
      <c r="D32" s="6">
        <v>777.33</v>
      </c>
      <c r="E32" s="2"/>
      <c r="F32" s="7">
        <f t="shared" si="13"/>
        <v>0.14023785211458184</v>
      </c>
      <c r="G32" s="2"/>
      <c r="H32" s="6">
        <v>923.54368853846142</v>
      </c>
      <c r="I32" s="2"/>
      <c r="J32" s="7">
        <f t="shared" si="14"/>
        <v>6.9717195481124886E-2</v>
      </c>
      <c r="K32" s="2"/>
      <c r="L32" s="6">
        <f t="shared" si="15"/>
        <v>-146.21368853846138</v>
      </c>
      <c r="M32" s="2"/>
      <c r="N32" s="7">
        <f t="shared" si="16"/>
        <v>-0.15831810704033872</v>
      </c>
      <c r="O32" s="11"/>
      <c r="P32" s="6">
        <v>1516.01</v>
      </c>
      <c r="Q32" s="2"/>
      <c r="R32" s="7">
        <f t="shared" si="17"/>
        <v>0.23259356996555619</v>
      </c>
      <c r="S32" s="2"/>
      <c r="T32" s="6">
        <v>1756.4823179615385</v>
      </c>
      <c r="U32" s="2"/>
      <c r="V32" s="7">
        <f t="shared" si="18"/>
        <v>9.9619006236475641E-2</v>
      </c>
      <c r="W32" s="2"/>
      <c r="X32" s="6">
        <f t="shared" si="19"/>
        <v>-240.47231796153847</v>
      </c>
      <c r="Y32" s="2"/>
      <c r="Z32" s="7">
        <f t="shared" si="20"/>
        <v>-0.13690562979342447</v>
      </c>
    </row>
    <row r="33" spans="1:26" s="24" customFormat="1" hidden="1" outlineLevel="2" x14ac:dyDescent="0.25">
      <c r="A33" s="27"/>
      <c r="B33" s="11" t="str">
        <f>CONCATENATE("          ", "6113", " - ", "GROUP INSURANCE")</f>
        <v xml:space="preserve">          6113 - GROUP INSURANCE</v>
      </c>
      <c r="C33" s="11"/>
      <c r="D33" s="6">
        <v>13367.12</v>
      </c>
      <c r="E33" s="2"/>
      <c r="F33" s="7">
        <f t="shared" si="13"/>
        <v>2.4115577653736113</v>
      </c>
      <c r="G33" s="2"/>
      <c r="H33" s="6">
        <v>11221.153846153849</v>
      </c>
      <c r="I33" s="2"/>
      <c r="J33" s="7">
        <f t="shared" si="14"/>
        <v>0.8470713252928096</v>
      </c>
      <c r="K33" s="2"/>
      <c r="L33" s="6">
        <f t="shared" si="15"/>
        <v>2145.9661538461514</v>
      </c>
      <c r="M33" s="2"/>
      <c r="N33" s="7">
        <f t="shared" si="16"/>
        <v>0.19124291345329877</v>
      </c>
      <c r="O33" s="11"/>
      <c r="P33" s="6">
        <v>31606.21</v>
      </c>
      <c r="Q33" s="2"/>
      <c r="R33" s="7">
        <f t="shared" si="17"/>
        <v>4.8491772593723397</v>
      </c>
      <c r="S33" s="2"/>
      <c r="T33" s="6">
        <v>23218.846153846149</v>
      </c>
      <c r="U33" s="2"/>
      <c r="V33" s="7">
        <f t="shared" si="18"/>
        <v>1.3168583344967191</v>
      </c>
      <c r="W33" s="2"/>
      <c r="X33" s="6">
        <f t="shared" si="19"/>
        <v>8387.3638461538503</v>
      </c>
      <c r="Y33" s="2"/>
      <c r="Z33" s="7">
        <f t="shared" si="20"/>
        <v>0.3612308635226692</v>
      </c>
    </row>
    <row r="34" spans="1:26" s="24" customFormat="1" hidden="1" outlineLevel="2" x14ac:dyDescent="0.25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107.66</v>
      </c>
      <c r="E34" s="2"/>
      <c r="F34" s="7">
        <f t="shared" si="13"/>
        <v>1.9422905533886353E-2</v>
      </c>
      <c r="G34" s="2"/>
      <c r="H34" s="6">
        <v>110.47187</v>
      </c>
      <c r="I34" s="2"/>
      <c r="J34" s="7">
        <f t="shared" si="14"/>
        <v>8.3393877859137908E-3</v>
      </c>
      <c r="K34" s="2"/>
      <c r="L34" s="6">
        <f t="shared" si="15"/>
        <v>-2.811869999999999</v>
      </c>
      <c r="M34" s="2"/>
      <c r="N34" s="7">
        <f t="shared" si="16"/>
        <v>-2.5453266971944978E-2</v>
      </c>
      <c r="O34" s="11"/>
      <c r="P34" s="6">
        <v>213.47</v>
      </c>
      <c r="Q34" s="2"/>
      <c r="R34" s="7">
        <f t="shared" si="17"/>
        <v>3.2751597535997309E-2</v>
      </c>
      <c r="S34" s="2"/>
      <c r="T34" s="6">
        <v>212.13905500000001</v>
      </c>
      <c r="U34" s="2"/>
      <c r="V34" s="7">
        <f t="shared" si="18"/>
        <v>1.2031479979582578E-2</v>
      </c>
      <c r="W34" s="2"/>
      <c r="X34" s="6">
        <f t="shared" si="19"/>
        <v>1.3309449999999856</v>
      </c>
      <c r="Y34" s="2"/>
      <c r="Z34" s="7">
        <f t="shared" si="20"/>
        <v>6.2739272596457332E-3</v>
      </c>
    </row>
    <row r="35" spans="1:26" s="24" customFormat="1" hidden="1" outlineLevel="2" x14ac:dyDescent="0.25">
      <c r="A35" s="27"/>
      <c r="B35" s="11" t="str">
        <f>CONCATENATE("          ", "6115", " - ", "P.E.R.S.")</f>
        <v xml:space="preserve">          6115 - P.E.R.S.</v>
      </c>
      <c r="C35" s="11"/>
      <c r="D35" s="6">
        <v>3683.98</v>
      </c>
      <c r="E35" s="2"/>
      <c r="F35" s="7">
        <f t="shared" si="13"/>
        <v>0.66462563188488433</v>
      </c>
      <c r="G35" s="2"/>
      <c r="H35" s="6">
        <v>2222.5677261538458</v>
      </c>
      <c r="I35" s="2"/>
      <c r="J35" s="7">
        <f t="shared" si="14"/>
        <v>0.16777894815081495</v>
      </c>
      <c r="K35" s="2"/>
      <c r="L35" s="6">
        <f t="shared" si="15"/>
        <v>1461.4122738461542</v>
      </c>
      <c r="M35" s="2"/>
      <c r="N35" s="7">
        <f t="shared" si="16"/>
        <v>0.65753329207885536</v>
      </c>
      <c r="O35" s="11"/>
      <c r="P35" s="6">
        <v>10195.11</v>
      </c>
      <c r="Q35" s="2"/>
      <c r="R35" s="7">
        <f t="shared" si="17"/>
        <v>1.5641829744470956</v>
      </c>
      <c r="S35" s="2"/>
      <c r="T35" s="6">
        <v>5000.7773838461562</v>
      </c>
      <c r="U35" s="2"/>
      <c r="V35" s="7">
        <f t="shared" si="18"/>
        <v>0.28361940697857058</v>
      </c>
      <c r="W35" s="2"/>
      <c r="X35" s="6">
        <f t="shared" si="19"/>
        <v>5194.3326161538444</v>
      </c>
      <c r="Y35" s="2"/>
      <c r="Z35" s="7">
        <f t="shared" si="20"/>
        <v>1.0387050287287178</v>
      </c>
    </row>
    <row r="36" spans="1:26" s="24" customFormat="1" hidden="1" outlineLevel="2" x14ac:dyDescent="0.25">
      <c r="A36" s="27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7"/>
      <c r="B37" s="11" t="str">
        <f>CONCATENATE("          ", "6118", " - ", "VACATION")</f>
        <v xml:space="preserve">          6118 - VACATION</v>
      </c>
      <c r="C37" s="11"/>
      <c r="D37" s="6">
        <v>3208.6</v>
      </c>
      <c r="E37" s="2"/>
      <c r="F37" s="7">
        <f t="shared" si="13"/>
        <v>0.57886248092167703</v>
      </c>
      <c r="G37" s="2"/>
      <c r="H37" s="6">
        <v>1899.1320769230799</v>
      </c>
      <c r="I37" s="2"/>
      <c r="J37" s="7">
        <f t="shared" si="14"/>
        <v>0.14336318237510984</v>
      </c>
      <c r="K37" s="2"/>
      <c r="L37" s="6">
        <f t="shared" si="15"/>
        <v>1309.46792307692</v>
      </c>
      <c r="M37" s="2"/>
      <c r="N37" s="7">
        <f t="shared" si="16"/>
        <v>0.68950861237543992</v>
      </c>
      <c r="O37" s="11"/>
      <c r="P37" s="6">
        <v>6567.81</v>
      </c>
      <c r="Q37" s="2"/>
      <c r="R37" s="7">
        <f t="shared" si="17"/>
        <v>1.0076651042905256</v>
      </c>
      <c r="S37" s="2"/>
      <c r="T37" s="6">
        <v>4273.0471730769295</v>
      </c>
      <c r="U37" s="2"/>
      <c r="V37" s="7">
        <f t="shared" si="18"/>
        <v>0.24234614184873693</v>
      </c>
      <c r="W37" s="2"/>
      <c r="X37" s="6">
        <f t="shared" si="19"/>
        <v>2294.7628269230709</v>
      </c>
      <c r="Y37" s="2"/>
      <c r="Z37" s="7">
        <f t="shared" si="20"/>
        <v>0.53703194324219483</v>
      </c>
    </row>
    <row r="38" spans="1:26" s="24" customFormat="1" hidden="1" outlineLevel="2" x14ac:dyDescent="0.25">
      <c r="A38" s="27"/>
      <c r="B38" s="11" t="str">
        <f>CONCATENATE("          ", "6119", " - ", "SICK LEAVE")</f>
        <v xml:space="preserve">          6119 - SICK LEAVE</v>
      </c>
      <c r="C38" s="11"/>
      <c r="D38" s="6">
        <v>1945.96</v>
      </c>
      <c r="E38" s="2"/>
      <c r="F38" s="7">
        <f t="shared" si="13"/>
        <v>0.35107000977820446</v>
      </c>
      <c r="G38" s="2"/>
      <c r="H38" s="6">
        <v>1047.5700999999999</v>
      </c>
      <c r="I38" s="2"/>
      <c r="J38" s="7">
        <f t="shared" si="14"/>
        <v>7.907979919981882E-2</v>
      </c>
      <c r="K38" s="2"/>
      <c r="L38" s="6">
        <f t="shared" si="15"/>
        <v>898.38990000000013</v>
      </c>
      <c r="M38" s="2"/>
      <c r="N38" s="7">
        <f t="shared" si="16"/>
        <v>0.85759406458813614</v>
      </c>
      <c r="O38" s="11"/>
      <c r="P38" s="6">
        <v>4175.1499999999996</v>
      </c>
      <c r="Q38" s="2"/>
      <c r="R38" s="7">
        <f t="shared" si="17"/>
        <v>0.64057166090045037</v>
      </c>
      <c r="S38" s="2"/>
      <c r="T38" s="6">
        <v>2048.5963500000003</v>
      </c>
      <c r="U38" s="2"/>
      <c r="V38" s="7">
        <f t="shared" si="18"/>
        <v>0.11618627211887479</v>
      </c>
      <c r="W38" s="2"/>
      <c r="X38" s="6">
        <f t="shared" si="19"/>
        <v>2126.5536499999994</v>
      </c>
      <c r="Y38" s="2"/>
      <c r="Z38" s="7">
        <f t="shared" si="20"/>
        <v>1.0380540070766011</v>
      </c>
    </row>
    <row r="39" spans="1:26" s="24" customFormat="1" hidden="1" outlineLevel="2" x14ac:dyDescent="0.25">
      <c r="A39" s="27"/>
      <c r="B39" s="11" t="str">
        <f>CONCATENATE("          ", "6156", " - ", "EMPLOYEE MEALS")</f>
        <v xml:space="preserve">          6156 - EMPLOYEE MEALS</v>
      </c>
      <c r="C39" s="11"/>
      <c r="D39" s="6">
        <v>1054.28</v>
      </c>
      <c r="E39" s="2"/>
      <c r="F39" s="7">
        <f t="shared" si="13"/>
        <v>0.19020231140874702</v>
      </c>
      <c r="G39" s="2"/>
      <c r="H39" s="6">
        <v>525</v>
      </c>
      <c r="I39" s="2"/>
      <c r="J39" s="7">
        <f t="shared" si="14"/>
        <v>3.9631614705216277E-2</v>
      </c>
      <c r="K39" s="2"/>
      <c r="L39" s="6">
        <f t="shared" si="15"/>
        <v>529.28</v>
      </c>
      <c r="M39" s="2"/>
      <c r="N39" s="7">
        <f t="shared" si="16"/>
        <v>1.0081523809523809</v>
      </c>
      <c r="O39" s="11"/>
      <c r="P39" s="6">
        <v>1364.01</v>
      </c>
      <c r="Q39" s="2"/>
      <c r="R39" s="7">
        <f t="shared" si="17"/>
        <v>0.20927299646355782</v>
      </c>
      <c r="S39" s="2"/>
      <c r="T39" s="6">
        <v>1050</v>
      </c>
      <c r="U39" s="2"/>
      <c r="V39" s="7">
        <f t="shared" si="18"/>
        <v>5.9550816696914699E-2</v>
      </c>
      <c r="W39" s="2"/>
      <c r="X39" s="6">
        <f t="shared" si="19"/>
        <v>314.01</v>
      </c>
      <c r="Y39" s="2"/>
      <c r="Z39" s="7">
        <f t="shared" si="20"/>
        <v>0.29905714285714285</v>
      </c>
    </row>
    <row r="40" spans="1:26" s="29" customFormat="1" outlineLevel="1" collapsed="1" x14ac:dyDescent="0.25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40914.910000000003</v>
      </c>
      <c r="E40" s="1"/>
      <c r="F40" s="5">
        <f t="shared" ref="F40:F50" si="21">IF(D$12=0,0,D40/D$12)</f>
        <v>7.3814455866381401</v>
      </c>
      <c r="G40" s="1"/>
      <c r="H40" s="1">
        <f>SUM(OSRRefH22_1x_0)</f>
        <v>39653.663692307695</v>
      </c>
      <c r="I40" s="1"/>
      <c r="J40" s="5">
        <f t="shared" ref="J40:J50" si="22">IF(H$12=0,0,H40/H$12)</f>
        <v>2.9934070878166903</v>
      </c>
      <c r="K40" s="1"/>
      <c r="L40" s="1">
        <f t="shared" ref="L40:L50" si="23">+D40-H40</f>
        <v>1261.2463076923086</v>
      </c>
      <c r="M40" s="1"/>
      <c r="N40" s="5">
        <f t="shared" ref="N40:N50" si="24">IF(H40=0,0,L40/H40)</f>
        <v>3.1806551784948289E-2</v>
      </c>
      <c r="O40" s="14"/>
      <c r="P40" s="1">
        <f>SUM(OSRRefP22_1x_0)</f>
        <v>88819.959999999992</v>
      </c>
      <c r="Q40" s="1"/>
      <c r="R40" s="5">
        <f t="shared" ref="R40:R50" si="25">IF(P$12=0,0,P40/P$12)</f>
        <v>13.62718687910891</v>
      </c>
      <c r="S40" s="1"/>
      <c r="T40" s="1">
        <f>SUM(OSRRefT22_1x_0)</f>
        <v>75381.485807692297</v>
      </c>
      <c r="U40" s="1"/>
      <c r="V40" s="5">
        <f t="shared" ref="V40:V50" si="26">IF(T$12=0,0,T40/T$12)</f>
        <v>4.2752657558809153</v>
      </c>
      <c r="W40" s="1"/>
      <c r="X40" s="1">
        <f t="shared" ref="X40:X50" si="27">+P40-T40</f>
        <v>13438.474192307694</v>
      </c>
      <c r="Y40" s="1"/>
      <c r="Z40" s="5">
        <f t="shared" ref="Z40:Z50" si="28">IF(T40=0,0,X40/T40)</f>
        <v>0.17827287494161287</v>
      </c>
    </row>
    <row r="41" spans="1:26" s="24" customFormat="1" hidden="1" outlineLevel="2" x14ac:dyDescent="0.25">
      <c r="A41" s="27"/>
      <c r="B41" s="11" t="str">
        <f>CONCATENATE("          ", "6001", " - ", "ADMINISTRATIVE SALARIES")</f>
        <v xml:space="preserve">          6001 - ADMINISTRATIVE SALARIES</v>
      </c>
      <c r="C41" s="11"/>
      <c r="D41" s="6">
        <v>11069.28</v>
      </c>
      <c r="E41" s="2"/>
      <c r="F41" s="7">
        <f t="shared" si="21"/>
        <v>1.9970051994068136</v>
      </c>
      <c r="G41" s="2"/>
      <c r="H41" s="6">
        <v>15250.00769230769</v>
      </c>
      <c r="I41" s="2"/>
      <c r="J41" s="7">
        <f t="shared" si="22"/>
        <v>1.1512046268821385</v>
      </c>
      <c r="K41" s="2"/>
      <c r="L41" s="6">
        <f t="shared" si="23"/>
        <v>-4180.7276923076897</v>
      </c>
      <c r="M41" s="2"/>
      <c r="N41" s="7">
        <f t="shared" si="24"/>
        <v>-0.27414593990116509</v>
      </c>
      <c r="O41" s="11"/>
      <c r="P41" s="6">
        <v>22276.609999999997</v>
      </c>
      <c r="Q41" s="2"/>
      <c r="R41" s="7">
        <f t="shared" si="25"/>
        <v>3.4177850057917873</v>
      </c>
      <c r="S41" s="2"/>
      <c r="T41" s="6">
        <v>34312.517307692295</v>
      </c>
      <c r="U41" s="2"/>
      <c r="V41" s="7">
        <f t="shared" si="26"/>
        <v>1.9460365986667589</v>
      </c>
      <c r="W41" s="2"/>
      <c r="X41" s="6">
        <f t="shared" si="27"/>
        <v>-12035.907307692298</v>
      </c>
      <c r="Y41" s="2"/>
      <c r="Z41" s="7">
        <f t="shared" si="28"/>
        <v>-0.35077307793427465</v>
      </c>
    </row>
    <row r="42" spans="1:26" s="24" customFormat="1" hidden="1" outlineLevel="2" x14ac:dyDescent="0.25">
      <c r="A42" s="27"/>
      <c r="B42" s="11" t="str">
        <f>CONCATENATE("          ", "6002", " - ", "STAFF SALARIES")</f>
        <v xml:space="preserve">          6002 - STAFF SALARIES</v>
      </c>
      <c r="C42" s="11"/>
      <c r="D42" s="6">
        <v>24162.06</v>
      </c>
      <c r="E42" s="2"/>
      <c r="F42" s="7">
        <f t="shared" si="21"/>
        <v>4.3590693747361522</v>
      </c>
      <c r="G42" s="2"/>
      <c r="H42" s="6">
        <v>8287.7219999999998</v>
      </c>
      <c r="I42" s="2"/>
      <c r="J42" s="7">
        <f t="shared" si="22"/>
        <v>0.62563010492941795</v>
      </c>
      <c r="K42" s="2"/>
      <c r="L42" s="6">
        <f t="shared" si="23"/>
        <v>15874.338000000002</v>
      </c>
      <c r="M42" s="2"/>
      <c r="N42" s="7">
        <f t="shared" si="24"/>
        <v>1.9154042570443364</v>
      </c>
      <c r="O42" s="11"/>
      <c r="P42" s="6">
        <v>56738.049999999996</v>
      </c>
      <c r="Q42" s="2"/>
      <c r="R42" s="7">
        <f t="shared" si="25"/>
        <v>8.7050254301648557</v>
      </c>
      <c r="S42" s="2"/>
      <c r="T42" s="6">
        <v>18647.374499999998</v>
      </c>
      <c r="U42" s="2"/>
      <c r="V42" s="7">
        <f t="shared" si="26"/>
        <v>1.0575870292649727</v>
      </c>
      <c r="W42" s="2"/>
      <c r="X42" s="6">
        <f t="shared" si="27"/>
        <v>38090.675499999998</v>
      </c>
      <c r="Y42" s="2"/>
      <c r="Z42" s="7">
        <f t="shared" si="28"/>
        <v>2.0426830329384975</v>
      </c>
    </row>
    <row r="43" spans="1:26" s="24" customFormat="1" hidden="1" outlineLevel="2" x14ac:dyDescent="0.25">
      <c r="A43" s="27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"6004", " - ", "STAFF HOURLY")</f>
        <v xml:space="preserve">          6004 - STAFF HOURLY</v>
      </c>
      <c r="C44" s="11"/>
      <c r="D44" s="6">
        <v>4818.47</v>
      </c>
      <c r="E44" s="2"/>
      <c r="F44" s="7">
        <f t="shared" si="21"/>
        <v>0.86929860326830188</v>
      </c>
      <c r="G44" s="2"/>
      <c r="H44" s="6">
        <v>6051.07</v>
      </c>
      <c r="I44" s="2"/>
      <c r="J44" s="7">
        <f t="shared" si="22"/>
        <v>0.45678795198912958</v>
      </c>
      <c r="K44" s="2"/>
      <c r="L44" s="6">
        <f t="shared" si="23"/>
        <v>-1232.5999999999995</v>
      </c>
      <c r="M44" s="2"/>
      <c r="N44" s="7">
        <f t="shared" si="24"/>
        <v>-0.2036995109955759</v>
      </c>
      <c r="O44" s="11"/>
      <c r="P44" s="6">
        <v>7590.2</v>
      </c>
      <c r="Q44" s="2"/>
      <c r="R44" s="7">
        <f t="shared" si="25"/>
        <v>1.164525111808342</v>
      </c>
      <c r="S44" s="2"/>
      <c r="T44" s="6">
        <v>9759.07</v>
      </c>
      <c r="U44" s="2"/>
      <c r="V44" s="7">
        <f t="shared" si="26"/>
        <v>0.55348627495462799</v>
      </c>
      <c r="W44" s="2"/>
      <c r="X44" s="6">
        <f t="shared" si="27"/>
        <v>-2168.87</v>
      </c>
      <c r="Y44" s="2"/>
      <c r="Z44" s="7">
        <f t="shared" si="28"/>
        <v>-0.22224146358208313</v>
      </c>
    </row>
    <row r="45" spans="1:26" s="24" customFormat="1" hidden="1" outlineLevel="2" x14ac:dyDescent="0.25">
      <c r="A45" s="27"/>
      <c r="B45" s="11" t="str">
        <f>CONCATENATE("          ", "6005", " - ", "TEMPORARY WAGES-HOURLY")</f>
        <v xml:space="preserve">          6005 - TEMPORARY WAGES-HOURLY</v>
      </c>
      <c r="C45" s="11"/>
      <c r="D45" s="6">
        <v>155.1</v>
      </c>
      <c r="E45" s="2"/>
      <c r="F45" s="7">
        <f t="shared" si="21"/>
        <v>2.798154048212682E-2</v>
      </c>
      <c r="G45" s="2"/>
      <c r="H45" s="6">
        <v>4767.3440000000001</v>
      </c>
      <c r="I45" s="2"/>
      <c r="J45" s="7">
        <f t="shared" si="22"/>
        <v>0.35988102966709445</v>
      </c>
      <c r="K45" s="2"/>
      <c r="L45" s="6">
        <f t="shared" si="23"/>
        <v>-4612.2439999999997</v>
      </c>
      <c r="M45" s="2"/>
      <c r="N45" s="7">
        <f t="shared" si="24"/>
        <v>-0.96746616145174325</v>
      </c>
      <c r="O45" s="11"/>
      <c r="P45" s="6">
        <v>155.1</v>
      </c>
      <c r="Q45" s="2"/>
      <c r="R45" s="7">
        <f t="shared" si="25"/>
        <v>2.3796190461578593E-2</v>
      </c>
      <c r="S45" s="2"/>
      <c r="T45" s="6">
        <v>6431.8639999999996</v>
      </c>
      <c r="U45" s="2"/>
      <c r="V45" s="7">
        <f t="shared" si="26"/>
        <v>0.36478357531760436</v>
      </c>
      <c r="W45" s="2"/>
      <c r="X45" s="6">
        <f t="shared" si="27"/>
        <v>-6276.7639999999992</v>
      </c>
      <c r="Y45" s="2"/>
      <c r="Z45" s="7">
        <f t="shared" si="28"/>
        <v>-0.97588568415003796</v>
      </c>
    </row>
    <row r="46" spans="1:26" s="24" customFormat="1" hidden="1" outlineLevel="2" x14ac:dyDescent="0.25">
      <c r="A46" s="27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"6007", " - ", "STUDENT HOURLY")</f>
        <v xml:space="preserve">          6007 - STUDENT HOURLY</v>
      </c>
      <c r="C47" s="11"/>
      <c r="D47" s="6">
        <v>710</v>
      </c>
      <c r="E47" s="2"/>
      <c r="F47" s="7">
        <f t="shared" si="21"/>
        <v>0.1280908687447456</v>
      </c>
      <c r="G47" s="2"/>
      <c r="H47" s="6">
        <v>2269.8000000000002</v>
      </c>
      <c r="I47" s="2"/>
      <c r="J47" s="7">
        <f t="shared" si="22"/>
        <v>0.17134445534838078</v>
      </c>
      <c r="K47" s="2"/>
      <c r="L47" s="6">
        <f t="shared" si="23"/>
        <v>-1559.8000000000002</v>
      </c>
      <c r="M47" s="2"/>
      <c r="N47" s="7">
        <f t="shared" si="24"/>
        <v>-0.68719710987752225</v>
      </c>
      <c r="O47" s="11"/>
      <c r="P47" s="6">
        <v>2060</v>
      </c>
      <c r="Q47" s="2"/>
      <c r="R47" s="7">
        <f t="shared" si="25"/>
        <v>0.31605514088234626</v>
      </c>
      <c r="S47" s="2"/>
      <c r="T47" s="6">
        <v>3202.94</v>
      </c>
      <c r="U47" s="2"/>
      <c r="V47" s="7">
        <f t="shared" si="26"/>
        <v>0.18165494555353903</v>
      </c>
      <c r="W47" s="2"/>
      <c r="X47" s="6">
        <f t="shared" si="27"/>
        <v>-1142.94</v>
      </c>
      <c r="Y47" s="2"/>
      <c r="Z47" s="7">
        <f t="shared" si="28"/>
        <v>-0.35684090242090083</v>
      </c>
    </row>
    <row r="48" spans="1:26" s="24" customFormat="1" hidden="1" outlineLevel="2" x14ac:dyDescent="0.25">
      <c r="A48" s="27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1"/>
        <v>0</v>
      </c>
      <c r="G48" s="2"/>
      <c r="H48" s="6">
        <v>3027.72</v>
      </c>
      <c r="I48" s="2"/>
      <c r="J48" s="7">
        <f t="shared" si="22"/>
        <v>0.22855891900052841</v>
      </c>
      <c r="K48" s="2"/>
      <c r="L48" s="6">
        <f t="shared" si="23"/>
        <v>-3027.72</v>
      </c>
      <c r="M48" s="2"/>
      <c r="N48" s="7">
        <f t="shared" si="24"/>
        <v>-1</v>
      </c>
      <c r="O48" s="11"/>
      <c r="P48" s="6"/>
      <c r="Q48" s="2"/>
      <c r="R48" s="7">
        <f t="shared" si="25"/>
        <v>0</v>
      </c>
      <c r="S48" s="2"/>
      <c r="T48" s="6">
        <v>3027.72</v>
      </c>
      <c r="U48" s="2"/>
      <c r="V48" s="7">
        <f t="shared" si="26"/>
        <v>0.17171733212341198</v>
      </c>
      <c r="W48" s="2"/>
      <c r="X48" s="6">
        <f t="shared" si="27"/>
        <v>-3027.72</v>
      </c>
      <c r="Y48" s="2"/>
      <c r="Z48" s="7">
        <f t="shared" si="28"/>
        <v>-1</v>
      </c>
    </row>
    <row r="49" spans="1:26" s="24" customFormat="1" hidden="1" outlineLevel="2" x14ac:dyDescent="0.25">
      <c r="A49" s="27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7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9" customFormat="1" outlineLevel="1" collapsed="1" x14ac:dyDescent="0.25">
      <c r="A51" s="28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0</v>
      </c>
      <c r="E51" s="1"/>
      <c r="F51" s="5">
        <f t="shared" ref="F51:F60" si="29">IF(D$12=0,0,D51/D$12)</f>
        <v>0</v>
      </c>
      <c r="G51" s="1"/>
      <c r="H51" s="1">
        <f>SUM(OSRRefH22_2x_0)</f>
        <v>640</v>
      </c>
      <c r="I51" s="1"/>
      <c r="J51" s="5">
        <f t="shared" ref="J51:J60" si="30">IF(H$12=0,0,H51/H$12)</f>
        <v>4.8312825545406508E-2</v>
      </c>
      <c r="K51" s="1"/>
      <c r="L51" s="1">
        <f t="shared" ref="L51:L60" si="31">+D51-H51</f>
        <v>-640</v>
      </c>
      <c r="M51" s="1"/>
      <c r="N51" s="5">
        <f t="shared" ref="N51:N60" si="32">IF(H51=0,0,L51/H51)</f>
        <v>-1</v>
      </c>
      <c r="O51" s="14"/>
      <c r="P51" s="1">
        <f>SUM(OSRRefP22_2x_0)</f>
        <v>45.97</v>
      </c>
      <c r="Q51" s="1"/>
      <c r="R51" s="5">
        <f t="shared" ref="R51:R60" si="33">IF(P$12=0,0,P51/P$12)</f>
        <v>7.0529392360977943E-3</v>
      </c>
      <c r="S51" s="1"/>
      <c r="T51" s="1">
        <f>SUM(OSRRefT22_2x_0)</f>
        <v>2280</v>
      </c>
      <c r="U51" s="1"/>
      <c r="V51" s="5">
        <f t="shared" ref="V51:V60" si="34">IF(T$12=0,0,T51/T$12)</f>
        <v>0.12931034482758622</v>
      </c>
      <c r="W51" s="1"/>
      <c r="X51" s="1">
        <f t="shared" ref="X51:X60" si="35">+P51-T51</f>
        <v>-2234.0300000000002</v>
      </c>
      <c r="Y51" s="1"/>
      <c r="Z51" s="5">
        <f t="shared" ref="Z51:Z60" si="36">IF(T51=0,0,X51/T51)</f>
        <v>-0.9798377192982457</v>
      </c>
    </row>
    <row r="52" spans="1:26" s="24" customFormat="1" hidden="1" outlineLevel="2" x14ac:dyDescent="0.25">
      <c r="A52" s="27"/>
      <c r="B52" s="11" t="str">
        <f>CONCATENATE("          ", "6362", " - ", "ADVERTISING EXPENSE")</f>
        <v xml:space="preserve">          6362 - ADVERTISING EXPENSE</v>
      </c>
      <c r="C52" s="11"/>
      <c r="D52" s="6"/>
      <c r="E52" s="2"/>
      <c r="F52" s="7">
        <f t="shared" si="29"/>
        <v>0</v>
      </c>
      <c r="G52" s="2"/>
      <c r="H52" s="6">
        <v>640</v>
      </c>
      <c r="I52" s="2"/>
      <c r="J52" s="7">
        <f t="shared" si="30"/>
        <v>4.8312825545406508E-2</v>
      </c>
      <c r="K52" s="2"/>
      <c r="L52" s="6">
        <f t="shared" si="31"/>
        <v>-640</v>
      </c>
      <c r="M52" s="2"/>
      <c r="N52" s="7">
        <f t="shared" si="32"/>
        <v>-1</v>
      </c>
      <c r="O52" s="11"/>
      <c r="P52" s="6">
        <v>45.97</v>
      </c>
      <c r="Q52" s="2"/>
      <c r="R52" s="7">
        <f t="shared" si="33"/>
        <v>7.0529392360977943E-3</v>
      </c>
      <c r="S52" s="2"/>
      <c r="T52" s="6">
        <v>2280</v>
      </c>
      <c r="U52" s="2"/>
      <c r="V52" s="7">
        <f t="shared" si="34"/>
        <v>0.12931034482758622</v>
      </c>
      <c r="W52" s="2"/>
      <c r="X52" s="6">
        <f t="shared" si="35"/>
        <v>-2234.0300000000002</v>
      </c>
      <c r="Y52" s="2"/>
      <c r="Z52" s="7">
        <f t="shared" si="36"/>
        <v>-0.9798377192982457</v>
      </c>
    </row>
    <row r="53" spans="1:26" s="29" customFormat="1" outlineLevel="1" collapsed="1" x14ac:dyDescent="0.25">
      <c r="A53" s="28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3.61</v>
      </c>
      <c r="E53" s="1"/>
      <c r="F53" s="5">
        <f t="shared" si="29"/>
        <v>6.5127892418103046E-4</v>
      </c>
      <c r="G53" s="1"/>
      <c r="H53" s="1">
        <f>SUM(OSRRefH22_3x_0)</f>
        <v>25</v>
      </c>
      <c r="I53" s="1"/>
      <c r="J53" s="5">
        <f t="shared" si="30"/>
        <v>1.8872197478674417E-3</v>
      </c>
      <c r="K53" s="1"/>
      <c r="L53" s="1">
        <f t="shared" si="31"/>
        <v>-21.39</v>
      </c>
      <c r="M53" s="1"/>
      <c r="N53" s="5">
        <f t="shared" si="32"/>
        <v>-0.85560000000000003</v>
      </c>
      <c r="O53" s="14"/>
      <c r="P53" s="1">
        <f>SUM(OSRRefP22_3x_0)</f>
        <v>3.61</v>
      </c>
      <c r="Q53" s="1"/>
      <c r="R53" s="5">
        <f t="shared" si="33"/>
        <v>5.5386362067246116E-4</v>
      </c>
      <c r="S53" s="1"/>
      <c r="T53" s="1">
        <f>SUM(OSRRefT22_3x_0)</f>
        <v>35</v>
      </c>
      <c r="U53" s="1"/>
      <c r="V53" s="5">
        <f t="shared" si="34"/>
        <v>1.98502722323049E-3</v>
      </c>
      <c r="W53" s="1"/>
      <c r="X53" s="1">
        <f t="shared" si="35"/>
        <v>-31.39</v>
      </c>
      <c r="Y53" s="1"/>
      <c r="Z53" s="5">
        <f t="shared" si="36"/>
        <v>-0.89685714285714291</v>
      </c>
    </row>
    <row r="54" spans="1:26" s="24" customFormat="1" hidden="1" outlineLevel="2" x14ac:dyDescent="0.25">
      <c r="A54" s="27"/>
      <c r="B54" s="11" t="str">
        <f>CONCATENATE("          ", "6272", " - ", "CASH (OVER/SHORT)")</f>
        <v xml:space="preserve">          6272 - CASH (OVER/SHORT)</v>
      </c>
      <c r="C54" s="11"/>
      <c r="D54" s="6">
        <v>3.61</v>
      </c>
      <c r="E54" s="2"/>
      <c r="F54" s="7">
        <f t="shared" si="29"/>
        <v>6.5127892418103046E-4</v>
      </c>
      <c r="G54" s="2"/>
      <c r="H54" s="6">
        <v>25</v>
      </c>
      <c r="I54" s="2"/>
      <c r="J54" s="7">
        <f t="shared" si="30"/>
        <v>1.8872197478674417E-3</v>
      </c>
      <c r="K54" s="2"/>
      <c r="L54" s="6">
        <f t="shared" si="31"/>
        <v>-21.39</v>
      </c>
      <c r="M54" s="2"/>
      <c r="N54" s="7">
        <f t="shared" si="32"/>
        <v>-0.85560000000000003</v>
      </c>
      <c r="O54" s="11"/>
      <c r="P54" s="6">
        <v>3.61</v>
      </c>
      <c r="Q54" s="2"/>
      <c r="R54" s="7">
        <f t="shared" si="33"/>
        <v>5.5386362067246116E-4</v>
      </c>
      <c r="S54" s="2"/>
      <c r="T54" s="6">
        <v>35</v>
      </c>
      <c r="U54" s="2"/>
      <c r="V54" s="7">
        <f t="shared" si="34"/>
        <v>1.98502722323049E-3</v>
      </c>
      <c r="W54" s="2"/>
      <c r="X54" s="6">
        <f t="shared" si="35"/>
        <v>-31.39</v>
      </c>
      <c r="Y54" s="2"/>
      <c r="Z54" s="7">
        <f t="shared" si="36"/>
        <v>-0.89685714285714291</v>
      </c>
    </row>
    <row r="55" spans="1:26" s="29" customFormat="1" outlineLevel="1" collapsed="1" x14ac:dyDescent="0.25">
      <c r="A55" s="28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393.07</v>
      </c>
      <c r="E55" s="1"/>
      <c r="F55" s="5">
        <f t="shared" si="29"/>
        <v>7.0913630672531203E-2</v>
      </c>
      <c r="G55" s="1"/>
      <c r="H55" s="1">
        <f>SUM(OSRRefH22_4x_0)</f>
        <v>2853</v>
      </c>
      <c r="I55" s="1"/>
      <c r="J55" s="5">
        <f t="shared" si="30"/>
        <v>0.21536951762663245</v>
      </c>
      <c r="K55" s="1"/>
      <c r="L55" s="1">
        <f t="shared" si="31"/>
        <v>-2459.9299999999998</v>
      </c>
      <c r="M55" s="1"/>
      <c r="N55" s="5">
        <f t="shared" si="32"/>
        <v>-0.86222572730459157</v>
      </c>
      <c r="O55" s="14"/>
      <c r="P55" s="1">
        <f>SUM(OSRRefP22_4x_0)</f>
        <v>735.89</v>
      </c>
      <c r="Q55" s="1"/>
      <c r="R55" s="5">
        <f t="shared" si="33"/>
        <v>0.11290379496306299</v>
      </c>
      <c r="S55" s="1"/>
      <c r="T55" s="1">
        <f>SUM(OSRRefT22_4x_0)</f>
        <v>4114</v>
      </c>
      <c r="U55" s="1"/>
      <c r="V55" s="5">
        <f t="shared" si="34"/>
        <v>0.23332577132486387</v>
      </c>
      <c r="W55" s="1"/>
      <c r="X55" s="1">
        <f t="shared" si="35"/>
        <v>-3378.11</v>
      </c>
      <c r="Y55" s="1"/>
      <c r="Z55" s="5">
        <f t="shared" si="36"/>
        <v>-0.82112542537676225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393.07</v>
      </c>
      <c r="E56" s="2"/>
      <c r="F56" s="7">
        <f t="shared" si="29"/>
        <v>7.0913630672531203E-2</v>
      </c>
      <c r="G56" s="2"/>
      <c r="H56" s="6">
        <v>2853</v>
      </c>
      <c r="I56" s="2"/>
      <c r="J56" s="7">
        <f t="shared" si="30"/>
        <v>0.21536951762663245</v>
      </c>
      <c r="K56" s="2"/>
      <c r="L56" s="6">
        <f t="shared" si="31"/>
        <v>-2459.9299999999998</v>
      </c>
      <c r="M56" s="2"/>
      <c r="N56" s="7">
        <f t="shared" si="32"/>
        <v>-0.86222572730459157</v>
      </c>
      <c r="O56" s="11"/>
      <c r="P56" s="6">
        <v>735.89</v>
      </c>
      <c r="Q56" s="2"/>
      <c r="R56" s="7">
        <f t="shared" si="33"/>
        <v>0.11290379496306299</v>
      </c>
      <c r="S56" s="2"/>
      <c r="T56" s="6">
        <v>4114</v>
      </c>
      <c r="U56" s="2"/>
      <c r="V56" s="7">
        <f t="shared" si="34"/>
        <v>0.23332577132486387</v>
      </c>
      <c r="W56" s="2"/>
      <c r="X56" s="6">
        <f t="shared" si="35"/>
        <v>-3378.11</v>
      </c>
      <c r="Y56" s="2"/>
      <c r="Z56" s="7">
        <f t="shared" si="36"/>
        <v>-0.82112542537676225</v>
      </c>
    </row>
    <row r="57" spans="1:26" s="29" customFormat="1" outlineLevel="1" collapsed="1" x14ac:dyDescent="0.25">
      <c r="A57" s="28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46962.47</v>
      </c>
      <c r="E57" s="1"/>
      <c r="F57" s="5">
        <f t="shared" si="29"/>
        <v>8.4724839164775396</v>
      </c>
      <c r="G57" s="1"/>
      <c r="H57" s="1">
        <f>SUM(OSRRefH22_5x_0)</f>
        <v>47241</v>
      </c>
      <c r="I57" s="1"/>
      <c r="J57" s="5">
        <f t="shared" si="30"/>
        <v>3.5661659243602326</v>
      </c>
      <c r="K57" s="1"/>
      <c r="L57" s="1">
        <f t="shared" si="31"/>
        <v>-278.52999999999884</v>
      </c>
      <c r="M57" s="1"/>
      <c r="N57" s="5">
        <f t="shared" si="32"/>
        <v>-5.8959378505958563E-3</v>
      </c>
      <c r="O57" s="14"/>
      <c r="P57" s="1">
        <f>SUM(OSRRefP22_5x_0)</f>
        <v>93509.209999999992</v>
      </c>
      <c r="Q57" s="1"/>
      <c r="R57" s="5">
        <f t="shared" si="33"/>
        <v>14.346634242886843</v>
      </c>
      <c r="S57" s="1"/>
      <c r="T57" s="1">
        <f>SUM(OSRRefT22_5x_0)</f>
        <v>94482</v>
      </c>
      <c r="U57" s="1"/>
      <c r="V57" s="5">
        <f t="shared" si="34"/>
        <v>5.3585526315789478</v>
      </c>
      <c r="W57" s="1"/>
      <c r="X57" s="1">
        <f t="shared" si="35"/>
        <v>-972.79000000000815</v>
      </c>
      <c r="Y57" s="1"/>
      <c r="Z57" s="5">
        <f t="shared" si="36"/>
        <v>-1.0296035223640568E-2</v>
      </c>
    </row>
    <row r="58" spans="1:26" s="24" customFormat="1" hidden="1" outlineLevel="2" x14ac:dyDescent="0.25">
      <c r="A58" s="27"/>
      <c r="B58" s="11" t="str">
        <f>CONCATENATE("          ", "6321", " - ", "BUILDING DEPRECIATION")</f>
        <v xml:space="preserve">          6321 - BUILDING DEPRECIATION</v>
      </c>
      <c r="C58" s="11"/>
      <c r="D58" s="6">
        <v>28925.4</v>
      </c>
      <c r="E58" s="2"/>
      <c r="F58" s="7">
        <f t="shared" si="29"/>
        <v>5.2184219926609359</v>
      </c>
      <c r="G58" s="2"/>
      <c r="H58" s="6"/>
      <c r="I58" s="2"/>
      <c r="J58" s="7">
        <f t="shared" si="30"/>
        <v>0</v>
      </c>
      <c r="K58" s="2"/>
      <c r="L58" s="6">
        <f t="shared" si="31"/>
        <v>28925.4</v>
      </c>
      <c r="M58" s="2"/>
      <c r="N58" s="7">
        <f t="shared" si="32"/>
        <v>0</v>
      </c>
      <c r="O58" s="11"/>
      <c r="P58" s="6">
        <v>57850.8</v>
      </c>
      <c r="Q58" s="2"/>
      <c r="R58" s="7">
        <f t="shared" si="33"/>
        <v>8.87574890493031</v>
      </c>
      <c r="S58" s="2"/>
      <c r="T58" s="6"/>
      <c r="U58" s="2"/>
      <c r="V58" s="7">
        <f t="shared" si="34"/>
        <v>0</v>
      </c>
      <c r="W58" s="2"/>
      <c r="X58" s="6">
        <f t="shared" si="35"/>
        <v>57850.8</v>
      </c>
      <c r="Y58" s="2"/>
      <c r="Z58" s="7">
        <f t="shared" si="36"/>
        <v>0</v>
      </c>
    </row>
    <row r="59" spans="1:26" s="24" customFormat="1" hidden="1" outlineLevel="2" x14ac:dyDescent="0.25">
      <c r="A59" s="27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18037.070000000003</v>
      </c>
      <c r="E59" s="2"/>
      <c r="F59" s="7">
        <f t="shared" si="29"/>
        <v>3.2540619238166042</v>
      </c>
      <c r="G59" s="2"/>
      <c r="H59" s="6">
        <v>46691</v>
      </c>
      <c r="I59" s="2"/>
      <c r="J59" s="7">
        <f t="shared" si="30"/>
        <v>3.5246470899071487</v>
      </c>
      <c r="K59" s="2"/>
      <c r="L59" s="6">
        <f t="shared" si="31"/>
        <v>-28653.929999999997</v>
      </c>
      <c r="M59" s="2"/>
      <c r="N59" s="7">
        <f t="shared" si="32"/>
        <v>-0.61369278876014643</v>
      </c>
      <c r="O59" s="11"/>
      <c r="P59" s="6">
        <v>35658.409999999996</v>
      </c>
      <c r="Q59" s="2"/>
      <c r="R59" s="7">
        <f t="shared" si="33"/>
        <v>5.4708853379565356</v>
      </c>
      <c r="S59" s="2"/>
      <c r="T59" s="6">
        <v>93382</v>
      </c>
      <c r="U59" s="2"/>
      <c r="V59" s="7">
        <f t="shared" si="34"/>
        <v>5.2961660617059891</v>
      </c>
      <c r="W59" s="2"/>
      <c r="X59" s="6">
        <f t="shared" si="35"/>
        <v>-57723.590000000004</v>
      </c>
      <c r="Y59" s="2"/>
      <c r="Z59" s="7">
        <f t="shared" si="36"/>
        <v>-0.6181447173973571</v>
      </c>
    </row>
    <row r="60" spans="1:26" s="24" customFormat="1" hidden="1" outlineLevel="2" x14ac:dyDescent="0.25">
      <c r="A60" s="27"/>
      <c r="B60" s="11" t="str">
        <f>CONCATENATE("          ", "6326", " - ", "VEHICLES DEPRECIATION EXPENSE")</f>
        <v xml:space="preserve">          6326 - VEHICLES DEPRECIATION EXPENSE</v>
      </c>
      <c r="C60" s="11"/>
      <c r="D60" s="6"/>
      <c r="E60" s="2"/>
      <c r="F60" s="7">
        <f t="shared" si="29"/>
        <v>0</v>
      </c>
      <c r="G60" s="2"/>
      <c r="H60" s="6">
        <v>550</v>
      </c>
      <c r="I60" s="2"/>
      <c r="J60" s="7">
        <f t="shared" si="30"/>
        <v>4.1518834453083714E-2</v>
      </c>
      <c r="K60" s="2"/>
      <c r="L60" s="6">
        <f t="shared" si="31"/>
        <v>-550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1100</v>
      </c>
      <c r="U60" s="2"/>
      <c r="V60" s="7">
        <f t="shared" si="34"/>
        <v>6.2386569872958257E-2</v>
      </c>
      <c r="W60" s="2"/>
      <c r="X60" s="6">
        <f t="shared" si="35"/>
        <v>-1100</v>
      </c>
      <c r="Y60" s="2"/>
      <c r="Z60" s="7">
        <f t="shared" si="36"/>
        <v>-1</v>
      </c>
    </row>
    <row r="61" spans="1:26" s="29" customFormat="1" outlineLevel="1" collapsed="1" x14ac:dyDescent="0.25">
      <c r="A61" s="28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SUM(OSRRefD22_6x_0)</f>
        <v>0</v>
      </c>
      <c r="E61" s="1"/>
      <c r="F61" s="5">
        <f t="shared" ref="F61:F78" si="37">IF(D$12=0,0,D61/D$12)</f>
        <v>0</v>
      </c>
      <c r="G61" s="1"/>
      <c r="H61" s="1">
        <f>SUM(OSRRefH22_6x_0)</f>
        <v>0</v>
      </c>
      <c r="I61" s="1"/>
      <c r="J61" s="5">
        <f t="shared" ref="J61:J78" si="38">IF(H$12=0,0,H61/H$12)</f>
        <v>0</v>
      </c>
      <c r="K61" s="1"/>
      <c r="L61" s="1">
        <f t="shared" ref="L61:L78" si="39">+D61-H61</f>
        <v>0</v>
      </c>
      <c r="M61" s="1"/>
      <c r="N61" s="5">
        <f t="shared" ref="N61:N78" si="40">IF(H61=0,0,L61/H61)</f>
        <v>0</v>
      </c>
      <c r="O61" s="14"/>
      <c r="P61" s="1">
        <f>SUM(OSRRefP22_6x_0)</f>
        <v>0</v>
      </c>
      <c r="Q61" s="1"/>
      <c r="R61" s="5">
        <f t="shared" ref="R61:R78" si="41">IF(P$12=0,0,P61/P$12)</f>
        <v>0</v>
      </c>
      <c r="S61" s="1"/>
      <c r="T61" s="1">
        <f>SUM(OSRRefT22_6x_0)</f>
        <v>0</v>
      </c>
      <c r="U61" s="1"/>
      <c r="V61" s="5">
        <f t="shared" ref="V61:V78" si="42">IF(T$12=0,0,T61/T$12)</f>
        <v>0</v>
      </c>
      <c r="W61" s="1"/>
      <c r="X61" s="1">
        <f t="shared" ref="X61:X78" si="43">+P61-T61</f>
        <v>0</v>
      </c>
      <c r="Y61" s="1"/>
      <c r="Z61" s="5">
        <f t="shared" ref="Z61:Z78" si="44">IF(T61=0,0,X61/T61)</f>
        <v>0</v>
      </c>
    </row>
    <row r="62" spans="1:26" s="24" customFormat="1" hidden="1" outlineLevel="2" x14ac:dyDescent="0.25">
      <c r="A62" s="27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7"/>
        <v>0</v>
      </c>
      <c r="G62" s="2"/>
      <c r="H62" s="6">
        <v>0</v>
      </c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9" customFormat="1" outlineLevel="1" collapsed="1" x14ac:dyDescent="0.25">
      <c r="A63" s="28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SUM(OSRRefD22_7x_0)</f>
        <v>163.80000000000001</v>
      </c>
      <c r="E63" s="1"/>
      <c r="F63" s="5">
        <f t="shared" si="37"/>
        <v>2.9551104648435678E-2</v>
      </c>
      <c r="G63" s="1"/>
      <c r="H63" s="1">
        <f>SUM(OSRRefH22_7x_0)</f>
        <v>354.33333333333297</v>
      </c>
      <c r="I63" s="1"/>
      <c r="J63" s="5">
        <f t="shared" si="38"/>
        <v>2.6748194559774514E-2</v>
      </c>
      <c r="K63" s="1"/>
      <c r="L63" s="1">
        <f t="shared" si="39"/>
        <v>-190.53333333333296</v>
      </c>
      <c r="M63" s="1"/>
      <c r="N63" s="5">
        <f t="shared" si="40"/>
        <v>-0.53772342427093078</v>
      </c>
      <c r="O63" s="14"/>
      <c r="P63" s="1">
        <f>SUM(OSRRefP22_7x_0)</f>
        <v>1032.75</v>
      </c>
      <c r="Q63" s="1"/>
      <c r="R63" s="5">
        <f t="shared" si="41"/>
        <v>0.15844948871176848</v>
      </c>
      <c r="S63" s="1"/>
      <c r="T63" s="1">
        <f>SUM(OSRRefT22_7x_0)</f>
        <v>708.66666666666595</v>
      </c>
      <c r="U63" s="1"/>
      <c r="V63" s="5">
        <f t="shared" si="42"/>
        <v>4.0192075015123979E-2</v>
      </c>
      <c r="W63" s="1"/>
      <c r="X63" s="1">
        <f t="shared" si="43"/>
        <v>324.08333333333405</v>
      </c>
      <c r="Y63" s="1"/>
      <c r="Z63" s="5">
        <f t="shared" si="44"/>
        <v>0.45731420507996384</v>
      </c>
    </row>
    <row r="64" spans="1:26" s="24" customFormat="1" hidden="1" outlineLevel="2" x14ac:dyDescent="0.25">
      <c r="A64" s="27"/>
      <c r="B64" s="11" t="str">
        <f>CONCATENATE("          ", "6351", " - ", "EQUIPMENT RENTAL")</f>
        <v xml:space="preserve">          6351 - EQUIPMENT RENTAL</v>
      </c>
      <c r="C64" s="11"/>
      <c r="D64" s="6">
        <v>163.80000000000001</v>
      </c>
      <c r="E64" s="2"/>
      <c r="F64" s="7">
        <f t="shared" si="37"/>
        <v>2.9551104648435678E-2</v>
      </c>
      <c r="G64" s="2"/>
      <c r="H64" s="6">
        <v>354.33333333333297</v>
      </c>
      <c r="I64" s="2"/>
      <c r="J64" s="7">
        <f t="shared" si="38"/>
        <v>2.6748194559774514E-2</v>
      </c>
      <c r="K64" s="2"/>
      <c r="L64" s="6">
        <f t="shared" si="39"/>
        <v>-190.53333333333296</v>
      </c>
      <c r="M64" s="2"/>
      <c r="N64" s="7">
        <f t="shared" si="40"/>
        <v>-0.53772342427093078</v>
      </c>
      <c r="O64" s="11"/>
      <c r="P64" s="6">
        <v>1032.75</v>
      </c>
      <c r="Q64" s="2"/>
      <c r="R64" s="7">
        <f t="shared" si="41"/>
        <v>0.15844948871176848</v>
      </c>
      <c r="S64" s="2"/>
      <c r="T64" s="6">
        <v>708.66666666666595</v>
      </c>
      <c r="U64" s="2"/>
      <c r="V64" s="7">
        <f t="shared" si="42"/>
        <v>4.0192075015123979E-2</v>
      </c>
      <c r="W64" s="2"/>
      <c r="X64" s="6">
        <f t="shared" si="43"/>
        <v>324.08333333333405</v>
      </c>
      <c r="Y64" s="2"/>
      <c r="Z64" s="7">
        <f t="shared" si="44"/>
        <v>0.45731420507996384</v>
      </c>
    </row>
    <row r="65" spans="1:26" s="29" customFormat="1" outlineLevel="1" collapsed="1" x14ac:dyDescent="0.25">
      <c r="A65" s="28"/>
      <c r="B65" s="14" t="str">
        <f>CONCATENATE("     ","Freight out/Postage                               ")</f>
        <v xml:space="preserve">     Freight out/Postage                               </v>
      </c>
      <c r="C65" s="14"/>
      <c r="D65" s="1">
        <f>SUM(OSRRefD22_8x_0)</f>
        <v>3.94</v>
      </c>
      <c r="E65" s="1"/>
      <c r="F65" s="5">
        <f t="shared" si="37"/>
        <v>7.1081411669619387E-4</v>
      </c>
      <c r="G65" s="1"/>
      <c r="H65" s="1">
        <f>SUM(OSRRefH22_8x_0)</f>
        <v>0</v>
      </c>
      <c r="I65" s="1"/>
      <c r="J65" s="5">
        <f t="shared" si="38"/>
        <v>0</v>
      </c>
      <c r="K65" s="1"/>
      <c r="L65" s="1">
        <f t="shared" si="39"/>
        <v>3.94</v>
      </c>
      <c r="M65" s="1"/>
      <c r="N65" s="5">
        <f t="shared" si="40"/>
        <v>0</v>
      </c>
      <c r="O65" s="14"/>
      <c r="P65" s="1">
        <f>SUM(OSRRefP22_8x_0)</f>
        <v>3.94</v>
      </c>
      <c r="Q65" s="1"/>
      <c r="R65" s="5">
        <f t="shared" si="41"/>
        <v>6.0449381314390497E-4</v>
      </c>
      <c r="S65" s="1"/>
      <c r="T65" s="1">
        <f>SUM(OSRRefT22_8x_0)</f>
        <v>0</v>
      </c>
      <c r="U65" s="1"/>
      <c r="V65" s="5">
        <f t="shared" si="42"/>
        <v>0</v>
      </c>
      <c r="W65" s="1"/>
      <c r="X65" s="1">
        <f t="shared" si="43"/>
        <v>3.94</v>
      </c>
      <c r="Y65" s="1"/>
      <c r="Z65" s="5">
        <f t="shared" si="44"/>
        <v>0</v>
      </c>
    </row>
    <row r="66" spans="1:26" s="24" customFormat="1" hidden="1" outlineLevel="2" x14ac:dyDescent="0.25">
      <c r="A66" s="27"/>
      <c r="B66" s="11" t="str">
        <f>CONCATENATE("          ", "6305", " - ", "FREIGHT OUT")</f>
        <v xml:space="preserve">          6305 - FREIGHT OUT</v>
      </c>
      <c r="C66" s="11"/>
      <c r="D66" s="6">
        <v>3.94</v>
      </c>
      <c r="E66" s="2"/>
      <c r="F66" s="7">
        <f t="shared" si="37"/>
        <v>7.1081411669619387E-4</v>
      </c>
      <c r="G66" s="2"/>
      <c r="H66" s="6"/>
      <c r="I66" s="2"/>
      <c r="J66" s="7">
        <f t="shared" si="38"/>
        <v>0</v>
      </c>
      <c r="K66" s="2"/>
      <c r="L66" s="6">
        <f t="shared" si="39"/>
        <v>3.94</v>
      </c>
      <c r="M66" s="2"/>
      <c r="N66" s="7">
        <f t="shared" si="40"/>
        <v>0</v>
      </c>
      <c r="O66" s="11"/>
      <c r="P66" s="6">
        <v>3.94</v>
      </c>
      <c r="Q66" s="2"/>
      <c r="R66" s="7">
        <f t="shared" si="41"/>
        <v>6.0449381314390497E-4</v>
      </c>
      <c r="S66" s="2"/>
      <c r="T66" s="6"/>
      <c r="U66" s="2"/>
      <c r="V66" s="7">
        <f t="shared" si="42"/>
        <v>0</v>
      </c>
      <c r="W66" s="2"/>
      <c r="X66" s="6">
        <f t="shared" si="43"/>
        <v>3.94</v>
      </c>
      <c r="Y66" s="2"/>
      <c r="Z66" s="7">
        <f t="shared" si="44"/>
        <v>0</v>
      </c>
    </row>
    <row r="67" spans="1:26" s="29" customFormat="1" outlineLevel="1" collapsed="1" x14ac:dyDescent="0.25">
      <c r="A67" s="28"/>
      <c r="B67" s="14" t="str">
        <f>CONCATENATE("     ","General                                           ")</f>
        <v xml:space="preserve">     General                                           </v>
      </c>
      <c r="C67" s="14"/>
      <c r="D67" s="1">
        <f>SUM(OSRRefD22_9x_0)</f>
        <v>-1107.27</v>
      </c>
      <c r="E67" s="1"/>
      <c r="F67" s="5">
        <f t="shared" si="37"/>
        <v>-0.19976222004928798</v>
      </c>
      <c r="G67" s="1"/>
      <c r="H67" s="1">
        <f>SUM(OSRRefH22_9x_0)</f>
        <v>0</v>
      </c>
      <c r="I67" s="1"/>
      <c r="J67" s="5">
        <f t="shared" si="38"/>
        <v>0</v>
      </c>
      <c r="K67" s="1"/>
      <c r="L67" s="1">
        <f t="shared" si="39"/>
        <v>-1107.27</v>
      </c>
      <c r="M67" s="1"/>
      <c r="N67" s="5">
        <f t="shared" si="40"/>
        <v>0</v>
      </c>
      <c r="O67" s="14"/>
      <c r="P67" s="1">
        <f>SUM(OSRRefP22_9x_0)</f>
        <v>4725.03</v>
      </c>
      <c r="Q67" s="1"/>
      <c r="R67" s="5">
        <f t="shared" si="41"/>
        <v>0.72493690404044286</v>
      </c>
      <c r="S67" s="1"/>
      <c r="T67" s="1">
        <f>SUM(OSRRefT22_9x_0)</f>
        <v>7505</v>
      </c>
      <c r="U67" s="1"/>
      <c r="V67" s="5">
        <f t="shared" si="42"/>
        <v>0.42564655172413796</v>
      </c>
      <c r="W67" s="1"/>
      <c r="X67" s="1">
        <f t="shared" si="43"/>
        <v>-2779.9700000000003</v>
      </c>
      <c r="Y67" s="1"/>
      <c r="Z67" s="5">
        <f t="shared" si="44"/>
        <v>-0.37041572285143243</v>
      </c>
    </row>
    <row r="68" spans="1:26" s="24" customFormat="1" hidden="1" outlineLevel="2" x14ac:dyDescent="0.25">
      <c r="A68" s="27"/>
      <c r="B68" s="11" t="str">
        <f>CONCATENATE("          ", "6279", " - ", "GENERAL EXPENSE")</f>
        <v xml:space="preserve">          6279 - GENERAL EXPENSE</v>
      </c>
      <c r="C68" s="11"/>
      <c r="D68" s="6">
        <v>-1107.27</v>
      </c>
      <c r="E68" s="2"/>
      <c r="F68" s="7">
        <f t="shared" si="37"/>
        <v>-0.19976222004928798</v>
      </c>
      <c r="G68" s="2"/>
      <c r="H68" s="6">
        <v>0</v>
      </c>
      <c r="I68" s="2"/>
      <c r="J68" s="7">
        <f t="shared" si="38"/>
        <v>0</v>
      </c>
      <c r="K68" s="2"/>
      <c r="L68" s="6">
        <f t="shared" si="39"/>
        <v>-1107.27</v>
      </c>
      <c r="M68" s="2"/>
      <c r="N68" s="7">
        <f t="shared" si="40"/>
        <v>0</v>
      </c>
      <c r="O68" s="11"/>
      <c r="P68" s="6">
        <v>4725.03</v>
      </c>
      <c r="Q68" s="2"/>
      <c r="R68" s="7">
        <f t="shared" si="41"/>
        <v>0.72493690404044286</v>
      </c>
      <c r="S68" s="2"/>
      <c r="T68" s="6">
        <v>7505</v>
      </c>
      <c r="U68" s="2"/>
      <c r="V68" s="7">
        <f t="shared" si="42"/>
        <v>0.42564655172413796</v>
      </c>
      <c r="W68" s="2"/>
      <c r="X68" s="6">
        <f t="shared" si="43"/>
        <v>-2779.9700000000003</v>
      </c>
      <c r="Y68" s="2"/>
      <c r="Z68" s="7">
        <f t="shared" si="44"/>
        <v>-0.37041572285143243</v>
      </c>
    </row>
    <row r="69" spans="1:26" s="29" customFormat="1" outlineLevel="1" collapsed="1" x14ac:dyDescent="0.25">
      <c r="A69" s="28"/>
      <c r="B69" s="14" t="str">
        <f>CONCATENATE("     ","Insurance                                         ")</f>
        <v xml:space="preserve">     Insurance                                         </v>
      </c>
      <c r="C69" s="14"/>
      <c r="D69" s="1">
        <f>SUM(OSRRefD22_10x_0)</f>
        <v>4483.67</v>
      </c>
      <c r="E69" s="1"/>
      <c r="F69" s="5">
        <f t="shared" si="37"/>
        <v>0.80889744431655419</v>
      </c>
      <c r="G69" s="1"/>
      <c r="H69" s="1">
        <f>SUM(OSRRefH22_10x_0)</f>
        <v>4835</v>
      </c>
      <c r="I69" s="1"/>
      <c r="J69" s="5">
        <f t="shared" si="38"/>
        <v>0.36498829923756321</v>
      </c>
      <c r="K69" s="1"/>
      <c r="L69" s="1">
        <f t="shared" si="39"/>
        <v>-351.32999999999993</v>
      </c>
      <c r="M69" s="1"/>
      <c r="N69" s="5">
        <f t="shared" si="40"/>
        <v>-7.2663908996897605E-2</v>
      </c>
      <c r="O69" s="14"/>
      <c r="P69" s="1">
        <f>SUM(OSRRefP22_10x_0)</f>
        <v>8967.34</v>
      </c>
      <c r="Q69" s="1"/>
      <c r="R69" s="5">
        <f t="shared" si="41"/>
        <v>1.3758125762329605</v>
      </c>
      <c r="S69" s="1"/>
      <c r="T69" s="1">
        <f>SUM(OSRRefT22_10x_0)</f>
        <v>9670</v>
      </c>
      <c r="U69" s="1"/>
      <c r="V69" s="5">
        <f t="shared" si="42"/>
        <v>0.54843466424682397</v>
      </c>
      <c r="W69" s="1"/>
      <c r="X69" s="1">
        <f t="shared" si="43"/>
        <v>-702.65999999999985</v>
      </c>
      <c r="Y69" s="1"/>
      <c r="Z69" s="5">
        <f t="shared" si="44"/>
        <v>-7.2663908996897605E-2</v>
      </c>
    </row>
    <row r="70" spans="1:26" s="24" customFormat="1" hidden="1" outlineLevel="2" x14ac:dyDescent="0.25">
      <c r="A70" s="27"/>
      <c r="B70" s="11" t="str">
        <f>CONCATENATE("          ", "6314", " - ", "LIABILITY INSURANCE")</f>
        <v xml:space="preserve">          6314 - LIABILITY INSURANCE</v>
      </c>
      <c r="C70" s="11"/>
      <c r="D70" s="6">
        <v>4483.67</v>
      </c>
      <c r="E70" s="2"/>
      <c r="F70" s="7">
        <f t="shared" si="37"/>
        <v>0.80889744431655419</v>
      </c>
      <c r="G70" s="2"/>
      <c r="H70" s="6">
        <v>4835</v>
      </c>
      <c r="I70" s="2"/>
      <c r="J70" s="7">
        <f t="shared" si="38"/>
        <v>0.36498829923756321</v>
      </c>
      <c r="K70" s="2"/>
      <c r="L70" s="6">
        <f t="shared" si="39"/>
        <v>-351.32999999999993</v>
      </c>
      <c r="M70" s="2"/>
      <c r="N70" s="7">
        <f t="shared" si="40"/>
        <v>-7.2663908996897605E-2</v>
      </c>
      <c r="O70" s="11"/>
      <c r="P70" s="6">
        <v>8967.34</v>
      </c>
      <c r="Q70" s="2"/>
      <c r="R70" s="7">
        <f t="shared" si="41"/>
        <v>1.3758125762329605</v>
      </c>
      <c r="S70" s="2"/>
      <c r="T70" s="6">
        <v>9670</v>
      </c>
      <c r="U70" s="2"/>
      <c r="V70" s="7">
        <f t="shared" si="42"/>
        <v>0.54843466424682397</v>
      </c>
      <c r="W70" s="2"/>
      <c r="X70" s="6">
        <f t="shared" si="43"/>
        <v>-702.65999999999985</v>
      </c>
      <c r="Y70" s="2"/>
      <c r="Z70" s="7">
        <f t="shared" si="44"/>
        <v>-7.2663908996897605E-2</v>
      </c>
    </row>
    <row r="71" spans="1:26" s="29" customFormat="1" outlineLevel="1" collapsed="1" x14ac:dyDescent="0.25">
      <c r="A71" s="28"/>
      <c r="B71" s="14" t="str">
        <f>CONCATENATE("     ","Interest                                          ")</f>
        <v xml:space="preserve">     Interest                                          </v>
      </c>
      <c r="C71" s="14"/>
      <c r="D71" s="1">
        <f>SUM(OSRRefD22_11x_0)</f>
        <v>11554</v>
      </c>
      <c r="E71" s="1"/>
      <c r="F71" s="5">
        <f t="shared" si="37"/>
        <v>2.0844533767278741</v>
      </c>
      <c r="G71" s="1"/>
      <c r="H71" s="1">
        <f>SUM(OSRRefH22_11x_0)</f>
        <v>11554</v>
      </c>
      <c r="I71" s="1"/>
      <c r="J71" s="5">
        <f t="shared" si="38"/>
        <v>0.87219747867441688</v>
      </c>
      <c r="K71" s="1"/>
      <c r="L71" s="1">
        <f t="shared" si="39"/>
        <v>0</v>
      </c>
      <c r="M71" s="1"/>
      <c r="N71" s="5">
        <f t="shared" si="40"/>
        <v>0</v>
      </c>
      <c r="O71" s="14"/>
      <c r="P71" s="1">
        <f>SUM(OSRRefP22_11x_0)</f>
        <v>23108</v>
      </c>
      <c r="Q71" s="1"/>
      <c r="R71" s="5">
        <f t="shared" si="41"/>
        <v>3.5453408716064354</v>
      </c>
      <c r="S71" s="1"/>
      <c r="T71" s="1">
        <f>SUM(OSRRefT22_11x_0)</f>
        <v>23108</v>
      </c>
      <c r="U71" s="1"/>
      <c r="V71" s="5">
        <f t="shared" si="42"/>
        <v>1.3105716878402904</v>
      </c>
      <c r="W71" s="1"/>
      <c r="X71" s="1">
        <f t="shared" si="43"/>
        <v>0</v>
      </c>
      <c r="Y71" s="1"/>
      <c r="Z71" s="5">
        <f t="shared" si="44"/>
        <v>0</v>
      </c>
    </row>
    <row r="72" spans="1:26" s="24" customFormat="1" hidden="1" outlineLevel="2" x14ac:dyDescent="0.25">
      <c r="A72" s="27"/>
      <c r="B72" s="11" t="str">
        <f>CONCATENATE("          ", "6401", " - ", "INTEREST EXPENSE")</f>
        <v xml:space="preserve">          6401 - INTEREST EXPENSE</v>
      </c>
      <c r="C72" s="11"/>
      <c r="D72" s="6">
        <v>11554</v>
      </c>
      <c r="E72" s="2"/>
      <c r="F72" s="7">
        <f t="shared" si="37"/>
        <v>2.0844533767278741</v>
      </c>
      <c r="G72" s="2"/>
      <c r="H72" s="6">
        <v>11554</v>
      </c>
      <c r="I72" s="2"/>
      <c r="J72" s="7">
        <f t="shared" si="38"/>
        <v>0.87219747867441688</v>
      </c>
      <c r="K72" s="2"/>
      <c r="L72" s="6">
        <f t="shared" si="39"/>
        <v>0</v>
      </c>
      <c r="M72" s="2"/>
      <c r="N72" s="7">
        <f t="shared" si="40"/>
        <v>0</v>
      </c>
      <c r="O72" s="11"/>
      <c r="P72" s="6">
        <v>23108</v>
      </c>
      <c r="Q72" s="2"/>
      <c r="R72" s="7">
        <f t="shared" si="41"/>
        <v>3.5453408716064354</v>
      </c>
      <c r="S72" s="2"/>
      <c r="T72" s="6">
        <v>23108</v>
      </c>
      <c r="U72" s="2"/>
      <c r="V72" s="7">
        <f t="shared" si="42"/>
        <v>1.3105716878402904</v>
      </c>
      <c r="W72" s="2"/>
      <c r="X72" s="6">
        <f t="shared" si="43"/>
        <v>0</v>
      </c>
      <c r="Y72" s="2"/>
      <c r="Z72" s="7">
        <f t="shared" si="44"/>
        <v>0</v>
      </c>
    </row>
    <row r="73" spans="1:26" s="29" customFormat="1" outlineLevel="1" collapsed="1" x14ac:dyDescent="0.25">
      <c r="A73" s="28"/>
      <c r="B73" s="14" t="str">
        <f>CONCATENATE("     ","Rent                                              ")</f>
        <v xml:space="preserve">     Rent                                              </v>
      </c>
      <c r="C73" s="14"/>
      <c r="D73" s="1">
        <f>SUM(OSRRefD22_12x_0)</f>
        <v>0</v>
      </c>
      <c r="E73" s="1"/>
      <c r="F73" s="5">
        <f t="shared" si="37"/>
        <v>0</v>
      </c>
      <c r="G73" s="1"/>
      <c r="H73" s="1">
        <f>SUM(OSRRefH22_12x_0)</f>
        <v>1943</v>
      </c>
      <c r="I73" s="1"/>
      <c r="J73" s="5">
        <f t="shared" si="38"/>
        <v>0.14667471880425756</v>
      </c>
      <c r="K73" s="1"/>
      <c r="L73" s="1">
        <f t="shared" si="39"/>
        <v>-1943</v>
      </c>
      <c r="M73" s="1"/>
      <c r="N73" s="5">
        <f t="shared" si="40"/>
        <v>-1</v>
      </c>
      <c r="O73" s="14"/>
      <c r="P73" s="1">
        <f>SUM(OSRRefP22_12x_0)</f>
        <v>0</v>
      </c>
      <c r="Q73" s="1"/>
      <c r="R73" s="5">
        <f t="shared" si="41"/>
        <v>0</v>
      </c>
      <c r="S73" s="1"/>
      <c r="T73" s="1">
        <f>SUM(OSRRefT22_12x_0)</f>
        <v>3886</v>
      </c>
      <c r="U73" s="1"/>
      <c r="V73" s="5">
        <f t="shared" si="42"/>
        <v>0.22039473684210525</v>
      </c>
      <c r="W73" s="1"/>
      <c r="X73" s="1">
        <f t="shared" si="43"/>
        <v>-3886</v>
      </c>
      <c r="Y73" s="1"/>
      <c r="Z73" s="5">
        <f t="shared" si="44"/>
        <v>-1</v>
      </c>
    </row>
    <row r="74" spans="1:26" s="24" customFormat="1" hidden="1" outlineLevel="2" x14ac:dyDescent="0.25">
      <c r="A74" s="27"/>
      <c r="B74" s="11" t="str">
        <f>CONCATENATE("          ", "6273", " - ", "RENT")</f>
        <v xml:space="preserve">          6273 - RENT</v>
      </c>
      <c r="C74" s="11"/>
      <c r="D74" s="6"/>
      <c r="E74" s="2"/>
      <c r="F74" s="7">
        <f t="shared" si="37"/>
        <v>0</v>
      </c>
      <c r="G74" s="2"/>
      <c r="H74" s="6">
        <v>1943</v>
      </c>
      <c r="I74" s="2"/>
      <c r="J74" s="7">
        <f t="shared" si="38"/>
        <v>0.14667471880425756</v>
      </c>
      <c r="K74" s="2"/>
      <c r="L74" s="6">
        <f t="shared" si="39"/>
        <v>-1943</v>
      </c>
      <c r="M74" s="2"/>
      <c r="N74" s="7">
        <f t="shared" si="40"/>
        <v>-1</v>
      </c>
      <c r="O74" s="11"/>
      <c r="P74" s="6"/>
      <c r="Q74" s="2"/>
      <c r="R74" s="7">
        <f t="shared" si="41"/>
        <v>0</v>
      </c>
      <c r="S74" s="2"/>
      <c r="T74" s="6">
        <v>3886</v>
      </c>
      <c r="U74" s="2"/>
      <c r="V74" s="7">
        <f t="shared" si="42"/>
        <v>0.22039473684210525</v>
      </c>
      <c r="W74" s="2"/>
      <c r="X74" s="6">
        <f t="shared" si="43"/>
        <v>-3886</v>
      </c>
      <c r="Y74" s="2"/>
      <c r="Z74" s="7">
        <f t="shared" si="44"/>
        <v>-1</v>
      </c>
    </row>
    <row r="75" spans="1:26" s="29" customFormat="1" outlineLevel="1" collapsed="1" x14ac:dyDescent="0.25">
      <c r="A75" s="28"/>
      <c r="B75" s="14" t="str">
        <f>CONCATENATE("     ","Repair and Maintenance                            ")</f>
        <v xml:space="preserve">     Repair and Maintenance                            </v>
      </c>
      <c r="C75" s="14"/>
      <c r="D75" s="1">
        <f>SUM(OSRRefD22_13x_0)</f>
        <v>4732.46</v>
      </c>
      <c r="E75" s="1"/>
      <c r="F75" s="5">
        <f t="shared" si="37"/>
        <v>0.85378156718275877</v>
      </c>
      <c r="G75" s="1"/>
      <c r="H75" s="1">
        <f>SUM(OSRRefH22_13x_0)</f>
        <v>1021</v>
      </c>
      <c r="I75" s="1"/>
      <c r="J75" s="5">
        <f t="shared" si="38"/>
        <v>7.7074054502906317E-2</v>
      </c>
      <c r="K75" s="1"/>
      <c r="L75" s="1">
        <f t="shared" si="39"/>
        <v>3711.46</v>
      </c>
      <c r="M75" s="1"/>
      <c r="N75" s="5">
        <f t="shared" si="40"/>
        <v>3.6351224289911852</v>
      </c>
      <c r="O75" s="14"/>
      <c r="P75" s="1">
        <f>SUM(OSRRefP22_13x_0)</f>
        <v>8956.869999999999</v>
      </c>
      <c r="Q75" s="1"/>
      <c r="R75" s="5">
        <f t="shared" si="41"/>
        <v>1.3742062183081847</v>
      </c>
      <c r="S75" s="1"/>
      <c r="T75" s="1">
        <f>SUM(OSRRefT22_13x_0)</f>
        <v>1933</v>
      </c>
      <c r="U75" s="1"/>
      <c r="V75" s="5">
        <f t="shared" si="42"/>
        <v>0.10963021778584392</v>
      </c>
      <c r="W75" s="1"/>
      <c r="X75" s="1">
        <f t="shared" si="43"/>
        <v>7023.869999999999</v>
      </c>
      <c r="Y75" s="1"/>
      <c r="Z75" s="5">
        <f t="shared" si="44"/>
        <v>3.6336627004655968</v>
      </c>
    </row>
    <row r="76" spans="1:26" s="24" customFormat="1" hidden="1" outlineLevel="2" x14ac:dyDescent="0.25">
      <c r="A76" s="27"/>
      <c r="B76" s="11" t="str">
        <f>CONCATENATE("          ", "6372", " - ", "COMPUTER HARDWARE MAINTENANCE")</f>
        <v xml:space="preserve">          6372 - COMPUTER HARDWARE MAINTENANCE</v>
      </c>
      <c r="C76" s="11"/>
      <c r="D76" s="6"/>
      <c r="E76" s="2"/>
      <c r="F76" s="7">
        <f t="shared" si="37"/>
        <v>0</v>
      </c>
      <c r="G76" s="2"/>
      <c r="H76" s="6">
        <v>0</v>
      </c>
      <c r="I76" s="2"/>
      <c r="J76" s="7">
        <f t="shared" si="38"/>
        <v>0</v>
      </c>
      <c r="K76" s="2"/>
      <c r="L76" s="6">
        <f t="shared" si="39"/>
        <v>0</v>
      </c>
      <c r="M76" s="2"/>
      <c r="N76" s="7">
        <f t="shared" si="40"/>
        <v>0</v>
      </c>
      <c r="O76" s="11"/>
      <c r="P76" s="6"/>
      <c r="Q76" s="2"/>
      <c r="R76" s="7">
        <f t="shared" si="41"/>
        <v>0</v>
      </c>
      <c r="S76" s="2"/>
      <c r="T76" s="6">
        <v>0</v>
      </c>
      <c r="U76" s="2"/>
      <c r="V76" s="7">
        <f t="shared" si="42"/>
        <v>0</v>
      </c>
      <c r="W76" s="2"/>
      <c r="X76" s="6">
        <f t="shared" si="43"/>
        <v>0</v>
      </c>
      <c r="Y76" s="2"/>
      <c r="Z76" s="7">
        <f t="shared" si="44"/>
        <v>0</v>
      </c>
    </row>
    <row r="77" spans="1:26" s="24" customFormat="1" hidden="1" outlineLevel="2" x14ac:dyDescent="0.25">
      <c r="A77" s="27"/>
      <c r="B77" s="11" t="str">
        <f>CONCATENATE("          ", "6373", " - ", "MAINTENANCE CONTRACTS")</f>
        <v xml:space="preserve">          6373 - MAINTENANCE CONTRACTS</v>
      </c>
      <c r="C77" s="11"/>
      <c r="D77" s="6">
        <v>2041.06</v>
      </c>
      <c r="E77" s="2"/>
      <c r="F77" s="7">
        <f t="shared" si="37"/>
        <v>0.36822696980302877</v>
      </c>
      <c r="G77" s="2"/>
      <c r="H77" s="6">
        <v>0</v>
      </c>
      <c r="I77" s="2"/>
      <c r="J77" s="7">
        <f t="shared" si="38"/>
        <v>0</v>
      </c>
      <c r="K77" s="2"/>
      <c r="L77" s="6">
        <f t="shared" si="39"/>
        <v>2041.06</v>
      </c>
      <c r="M77" s="2"/>
      <c r="N77" s="7">
        <f t="shared" si="40"/>
        <v>0</v>
      </c>
      <c r="O77" s="11"/>
      <c r="P77" s="6">
        <v>4394.6499999999996</v>
      </c>
      <c r="Q77" s="2"/>
      <c r="R77" s="7">
        <f t="shared" si="41"/>
        <v>0.67424841013524406</v>
      </c>
      <c r="S77" s="2"/>
      <c r="T77" s="6">
        <v>0</v>
      </c>
      <c r="U77" s="2"/>
      <c r="V77" s="7">
        <f t="shared" si="42"/>
        <v>0</v>
      </c>
      <c r="W77" s="2"/>
      <c r="X77" s="6">
        <f t="shared" si="43"/>
        <v>4394.6499999999996</v>
      </c>
      <c r="Y77" s="2"/>
      <c r="Z77" s="7">
        <f t="shared" si="44"/>
        <v>0</v>
      </c>
    </row>
    <row r="78" spans="1:26" s="24" customFormat="1" hidden="1" outlineLevel="2" x14ac:dyDescent="0.25">
      <c r="A78" s="27"/>
      <c r="B78" s="11" t="str">
        <f>CONCATENATE("          ", "6375", " - ", "OUTSIDE REPAIRS &amp; MAINTENANCE")</f>
        <v xml:space="preserve">          6375 - OUTSIDE REPAIRS &amp; MAINTENANCE</v>
      </c>
      <c r="C78" s="11"/>
      <c r="D78" s="6">
        <v>2691.4</v>
      </c>
      <c r="E78" s="2"/>
      <c r="F78" s="7">
        <f t="shared" si="37"/>
        <v>0.48555459737973</v>
      </c>
      <c r="G78" s="2"/>
      <c r="H78" s="6">
        <v>1021</v>
      </c>
      <c r="I78" s="2"/>
      <c r="J78" s="7">
        <f t="shared" si="38"/>
        <v>7.7074054502906317E-2</v>
      </c>
      <c r="K78" s="2"/>
      <c r="L78" s="6">
        <f t="shared" si="39"/>
        <v>1670.4</v>
      </c>
      <c r="M78" s="2"/>
      <c r="N78" s="7">
        <f t="shared" si="40"/>
        <v>1.6360430950048972</v>
      </c>
      <c r="O78" s="11"/>
      <c r="P78" s="6">
        <v>4562.22</v>
      </c>
      <c r="Q78" s="2"/>
      <c r="R78" s="7">
        <f t="shared" si="41"/>
        <v>0.69995780817294062</v>
      </c>
      <c r="S78" s="2"/>
      <c r="T78" s="6">
        <v>1933</v>
      </c>
      <c r="U78" s="2"/>
      <c r="V78" s="7">
        <f t="shared" si="42"/>
        <v>0.10963021778584392</v>
      </c>
      <c r="W78" s="2"/>
      <c r="X78" s="6">
        <f t="shared" si="43"/>
        <v>2629.2200000000003</v>
      </c>
      <c r="Y78" s="2"/>
      <c r="Z78" s="7">
        <f t="shared" si="44"/>
        <v>1.3601758923952407</v>
      </c>
    </row>
    <row r="79" spans="1:26" s="29" customFormat="1" outlineLevel="1" collapsed="1" x14ac:dyDescent="0.25">
      <c r="A79" s="28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1">
        <f>SUM(OSRRefD22_14x_0)</f>
        <v>0</v>
      </c>
      <c r="E79" s="1"/>
      <c r="F79" s="5">
        <f t="shared" ref="F79:F81" si="45">IF(D$12=0,0,D79/D$12)</f>
        <v>0</v>
      </c>
      <c r="G79" s="1"/>
      <c r="H79" s="1">
        <f>SUM(OSRRefH22_14x_0)</f>
        <v>130</v>
      </c>
      <c r="I79" s="1"/>
      <c r="J79" s="5">
        <f t="shared" ref="J79:J81" si="46">IF(H$12=0,0,H79/H$12)</f>
        <v>9.8135426889106973E-3</v>
      </c>
      <c r="K79" s="1"/>
      <c r="L79" s="1">
        <f t="shared" ref="L79:L81" si="47">+D79-H79</f>
        <v>-130</v>
      </c>
      <c r="M79" s="1"/>
      <c r="N79" s="5">
        <f t="shared" ref="N79:N81" si="48">IF(H79=0,0,L79/H79)</f>
        <v>-1</v>
      </c>
      <c r="O79" s="14"/>
      <c r="P79" s="1">
        <f>SUM(OSRRefP22_14x_0)</f>
        <v>0</v>
      </c>
      <c r="Q79" s="1"/>
      <c r="R79" s="5">
        <f t="shared" ref="R79:R81" si="49">IF(P$12=0,0,P79/P$12)</f>
        <v>0</v>
      </c>
      <c r="S79" s="1"/>
      <c r="T79" s="1">
        <f>SUM(OSRRefT22_14x_0)</f>
        <v>130</v>
      </c>
      <c r="U79" s="1"/>
      <c r="V79" s="5">
        <f t="shared" ref="V79:V81" si="50">IF(T$12=0,0,T79/T$12)</f>
        <v>7.3729582577132489E-3</v>
      </c>
      <c r="W79" s="1"/>
      <c r="X79" s="1">
        <f t="shared" ref="X79:X81" si="51">+P79-T79</f>
        <v>-130</v>
      </c>
      <c r="Y79" s="1"/>
      <c r="Z79" s="5">
        <f t="shared" ref="Z79:Z81" si="52">IF(T79=0,0,X79/T79)</f>
        <v>-1</v>
      </c>
    </row>
    <row r="80" spans="1:26" s="24" customFormat="1" hidden="1" outlineLevel="2" x14ac:dyDescent="0.25">
      <c r="A80" s="27"/>
      <c r="B80" s="11" t="str">
        <f>CONCATENATE("          ", "6254", " - ", "ROYALTY &amp; COMMISSIONS")</f>
        <v xml:space="preserve">          6254 - ROYALTY &amp; COMMISSIONS</v>
      </c>
      <c r="C80" s="11"/>
      <c r="D80" s="6"/>
      <c r="E80" s="2"/>
      <c r="F80" s="7">
        <f t="shared" si="45"/>
        <v>0</v>
      </c>
      <c r="G80" s="2"/>
      <c r="H80" s="6">
        <v>0</v>
      </c>
      <c r="I80" s="2"/>
      <c r="J80" s="7">
        <f t="shared" si="46"/>
        <v>0</v>
      </c>
      <c r="K80" s="2"/>
      <c r="L80" s="6">
        <f t="shared" si="47"/>
        <v>0</v>
      </c>
      <c r="M80" s="2"/>
      <c r="N80" s="7">
        <f t="shared" si="48"/>
        <v>0</v>
      </c>
      <c r="O80" s="11"/>
      <c r="P80" s="6"/>
      <c r="Q80" s="2"/>
      <c r="R80" s="7">
        <f t="shared" si="49"/>
        <v>0</v>
      </c>
      <c r="S80" s="2"/>
      <c r="T80" s="6">
        <v>0</v>
      </c>
      <c r="U80" s="2"/>
      <c r="V80" s="7">
        <f t="shared" si="50"/>
        <v>0</v>
      </c>
      <c r="W80" s="2"/>
      <c r="X80" s="6">
        <f t="shared" si="51"/>
        <v>0</v>
      </c>
      <c r="Y80" s="2"/>
      <c r="Z80" s="7">
        <f t="shared" si="52"/>
        <v>0</v>
      </c>
    </row>
    <row r="81" spans="1:26" s="24" customFormat="1" hidden="1" outlineLevel="2" x14ac:dyDescent="0.25">
      <c r="A81" s="27"/>
      <c r="B81" s="11" t="str">
        <f>CONCATENATE("          ", "6259", " - ", "ROYALTY &amp; COMMISSIONS")</f>
        <v xml:space="preserve">          6259 - ROYALTY &amp; COMMISSIONS</v>
      </c>
      <c r="C81" s="11"/>
      <c r="D81" s="6"/>
      <c r="E81" s="2"/>
      <c r="F81" s="7">
        <f t="shared" si="45"/>
        <v>0</v>
      </c>
      <c r="G81" s="2"/>
      <c r="H81" s="6">
        <v>130</v>
      </c>
      <c r="I81" s="2"/>
      <c r="J81" s="7">
        <f t="shared" si="46"/>
        <v>9.8135426889106973E-3</v>
      </c>
      <c r="K81" s="2"/>
      <c r="L81" s="6">
        <f t="shared" si="47"/>
        <v>-130</v>
      </c>
      <c r="M81" s="2"/>
      <c r="N81" s="7">
        <f t="shared" si="48"/>
        <v>-1</v>
      </c>
      <c r="O81" s="11"/>
      <c r="P81" s="6"/>
      <c r="Q81" s="2"/>
      <c r="R81" s="7">
        <f t="shared" si="49"/>
        <v>0</v>
      </c>
      <c r="S81" s="2"/>
      <c r="T81" s="6">
        <v>130</v>
      </c>
      <c r="U81" s="2"/>
      <c r="V81" s="7">
        <f t="shared" si="50"/>
        <v>7.3729582577132489E-3</v>
      </c>
      <c r="W81" s="2"/>
      <c r="X81" s="6">
        <f t="shared" si="51"/>
        <v>-130</v>
      </c>
      <c r="Y81" s="2"/>
      <c r="Z81" s="7">
        <f t="shared" si="52"/>
        <v>-1</v>
      </c>
    </row>
    <row r="82" spans="1:26" s="29" customFormat="1" outlineLevel="1" collapsed="1" x14ac:dyDescent="0.25">
      <c r="A82" s="28"/>
      <c r="B82" s="14" t="str">
        <f>CONCATENATE("     ","Services                                          ")</f>
        <v xml:space="preserve">     Services                                          </v>
      </c>
      <c r="C82" s="14"/>
      <c r="D82" s="1">
        <f>SUM(OSRRefD22_15x_0)</f>
        <v>4020.02</v>
      </c>
      <c r="E82" s="1"/>
      <c r="F82" s="5">
        <f t="shared" ref="F82:F87" si="53">IF(D$12=0,0,D82/D$12)</f>
        <v>0.72525049883274961</v>
      </c>
      <c r="G82" s="1"/>
      <c r="H82" s="1">
        <f>SUM(OSRRefH22_15x_0)</f>
        <v>6407</v>
      </c>
      <c r="I82" s="1"/>
      <c r="J82" s="5">
        <f t="shared" ref="J82:J87" si="54">IF(H$12=0,0,H82/H$12)</f>
        <v>0.48365667698346798</v>
      </c>
      <c r="K82" s="1"/>
      <c r="L82" s="1">
        <f t="shared" ref="L82:L87" si="55">+D82-H82</f>
        <v>-2386.98</v>
      </c>
      <c r="M82" s="1"/>
      <c r="N82" s="5">
        <f t="shared" ref="N82:N87" si="56">IF(H82=0,0,L82/H82)</f>
        <v>-0.3725581395348837</v>
      </c>
      <c r="O82" s="14"/>
      <c r="P82" s="1">
        <f>SUM(OSRRefP22_15x_0)</f>
        <v>4822.62</v>
      </c>
      <c r="Q82" s="1"/>
      <c r="R82" s="5">
        <f t="shared" ref="R82:R87" si="57">IF(P$12=0,0,P82/P$12)</f>
        <v>0.73990963277767996</v>
      </c>
      <c r="S82" s="1"/>
      <c r="T82" s="1">
        <f>SUM(OSRRefT22_15x_0)</f>
        <v>12887</v>
      </c>
      <c r="U82" s="1"/>
      <c r="V82" s="5">
        <f t="shared" ref="V82:V87" si="58">IF(T$12=0,0,T82/T$12)</f>
        <v>0.73088702359346647</v>
      </c>
      <c r="W82" s="1"/>
      <c r="X82" s="1">
        <f t="shared" ref="X82:X87" si="59">+P82-T82</f>
        <v>-8064.38</v>
      </c>
      <c r="Y82" s="1"/>
      <c r="Z82" s="5">
        <f t="shared" ref="Z82:Z87" si="60">IF(T82=0,0,X82/T82)</f>
        <v>-0.62577636377745016</v>
      </c>
    </row>
    <row r="83" spans="1:26" s="24" customFormat="1" hidden="1" outlineLevel="2" x14ac:dyDescent="0.25">
      <c r="A83" s="27"/>
      <c r="B83" s="11" t="str">
        <f>CONCATENATE("          ", "6282", " - ", "JANITORIAL/EXTERMINATOR EXPENS")</f>
        <v xml:space="preserve">          6282 - JANITORIAL/EXTERMINATOR EXPENS</v>
      </c>
      <c r="C83" s="11"/>
      <c r="D83" s="6">
        <v>-283.27</v>
      </c>
      <c r="E83" s="2"/>
      <c r="F83" s="7">
        <f t="shared" si="53"/>
        <v>-5.110464843566772E-2</v>
      </c>
      <c r="G83" s="2"/>
      <c r="H83" s="6">
        <v>1112</v>
      </c>
      <c r="I83" s="2"/>
      <c r="J83" s="7">
        <f t="shared" si="54"/>
        <v>8.3943534385143806E-2</v>
      </c>
      <c r="K83" s="2"/>
      <c r="L83" s="6">
        <f t="shared" si="55"/>
        <v>-1395.27</v>
      </c>
      <c r="M83" s="2"/>
      <c r="N83" s="7">
        <f t="shared" si="56"/>
        <v>-1.2547392086330935</v>
      </c>
      <c r="O83" s="11"/>
      <c r="P83" s="6">
        <v>3.35</v>
      </c>
      <c r="Q83" s="2"/>
      <c r="R83" s="7">
        <f t="shared" si="57"/>
        <v>5.1397316599799024E-4</v>
      </c>
      <c r="S83" s="2"/>
      <c r="T83" s="6">
        <v>2224</v>
      </c>
      <c r="U83" s="2"/>
      <c r="V83" s="7">
        <f t="shared" si="58"/>
        <v>0.12613430127041741</v>
      </c>
      <c r="W83" s="2"/>
      <c r="X83" s="6">
        <f t="shared" si="59"/>
        <v>-2220.65</v>
      </c>
      <c r="Y83" s="2"/>
      <c r="Z83" s="7">
        <f t="shared" si="60"/>
        <v>-0.99849370503597124</v>
      </c>
    </row>
    <row r="84" spans="1:26" s="24" customFormat="1" hidden="1" outlineLevel="2" x14ac:dyDescent="0.25">
      <c r="A84" s="27"/>
      <c r="B84" s="11" t="str">
        <f>CONCATENATE("          ", "6283", " - ", "PLANT SERVICE")</f>
        <v xml:space="preserve">          6283 - PLANT SERVICE</v>
      </c>
      <c r="C84" s="11"/>
      <c r="D84" s="6"/>
      <c r="E84" s="2"/>
      <c r="F84" s="7">
        <f t="shared" si="53"/>
        <v>0</v>
      </c>
      <c r="G84" s="2"/>
      <c r="H84" s="6">
        <v>62</v>
      </c>
      <c r="I84" s="2"/>
      <c r="J84" s="7">
        <f t="shared" si="54"/>
        <v>4.680304974711255E-3</v>
      </c>
      <c r="K84" s="2"/>
      <c r="L84" s="6">
        <f t="shared" si="55"/>
        <v>-62</v>
      </c>
      <c r="M84" s="2"/>
      <c r="N84" s="7">
        <f t="shared" si="56"/>
        <v>-1</v>
      </c>
      <c r="O84" s="11"/>
      <c r="P84" s="6"/>
      <c r="Q84" s="2"/>
      <c r="R84" s="7">
        <f t="shared" si="57"/>
        <v>0</v>
      </c>
      <c r="S84" s="2"/>
      <c r="T84" s="6">
        <v>124</v>
      </c>
      <c r="U84" s="2"/>
      <c r="V84" s="7">
        <f t="shared" si="58"/>
        <v>7.032667876588022E-3</v>
      </c>
      <c r="W84" s="2"/>
      <c r="X84" s="6">
        <f t="shared" si="59"/>
        <v>-124</v>
      </c>
      <c r="Y84" s="2"/>
      <c r="Z84" s="7">
        <f t="shared" si="60"/>
        <v>-1</v>
      </c>
    </row>
    <row r="85" spans="1:26" s="24" customFormat="1" hidden="1" outlineLevel="2" x14ac:dyDescent="0.25">
      <c r="A85" s="27"/>
      <c r="B85" s="11" t="str">
        <f>CONCATENATE("          ", "6284", " - ", "TRASH REMOVAL EXPENSE")</f>
        <v xml:space="preserve">          6284 - TRASH REMOVAL EXPENSE</v>
      </c>
      <c r="C85" s="11"/>
      <c r="D85" s="6">
        <v>1000</v>
      </c>
      <c r="E85" s="2"/>
      <c r="F85" s="7">
        <f t="shared" si="53"/>
        <v>0.18040967428837409</v>
      </c>
      <c r="G85" s="2"/>
      <c r="H85" s="6">
        <v>1600</v>
      </c>
      <c r="I85" s="2"/>
      <c r="J85" s="7">
        <f t="shared" si="54"/>
        <v>0.12078206386351627</v>
      </c>
      <c r="K85" s="2"/>
      <c r="L85" s="6">
        <f t="shared" si="55"/>
        <v>-600</v>
      </c>
      <c r="M85" s="2"/>
      <c r="N85" s="7">
        <f t="shared" si="56"/>
        <v>-0.375</v>
      </c>
      <c r="O85" s="11"/>
      <c r="P85" s="6">
        <v>2000</v>
      </c>
      <c r="Q85" s="2"/>
      <c r="R85" s="7">
        <f t="shared" si="57"/>
        <v>0.30684965134208375</v>
      </c>
      <c r="S85" s="2"/>
      <c r="T85" s="6">
        <v>3660</v>
      </c>
      <c r="U85" s="2"/>
      <c r="V85" s="7">
        <f t="shared" si="58"/>
        <v>0.20757713248638837</v>
      </c>
      <c r="W85" s="2"/>
      <c r="X85" s="6">
        <f t="shared" si="59"/>
        <v>-1660</v>
      </c>
      <c r="Y85" s="2"/>
      <c r="Z85" s="7">
        <f t="shared" si="60"/>
        <v>-0.45355191256830601</v>
      </c>
    </row>
    <row r="86" spans="1:26" s="24" customFormat="1" hidden="1" outlineLevel="2" x14ac:dyDescent="0.25">
      <c r="A86" s="27"/>
      <c r="B86" s="11" t="str">
        <f>CONCATENATE("          ", "6285", " - ", "JANITORIAL SERVICES")</f>
        <v xml:space="preserve">          6285 - JANITORIAL SERVICES</v>
      </c>
      <c r="C86" s="11"/>
      <c r="D86" s="6">
        <v>3155.58</v>
      </c>
      <c r="E86" s="2"/>
      <c r="F86" s="7">
        <f t="shared" si="53"/>
        <v>0.56929715999090746</v>
      </c>
      <c r="G86" s="2"/>
      <c r="H86" s="6">
        <v>3491</v>
      </c>
      <c r="I86" s="2"/>
      <c r="J86" s="7">
        <f t="shared" si="54"/>
        <v>0.26353136559220958</v>
      </c>
      <c r="K86" s="2"/>
      <c r="L86" s="6">
        <f t="shared" si="55"/>
        <v>-335.42000000000007</v>
      </c>
      <c r="M86" s="2"/>
      <c r="N86" s="7">
        <f t="shared" si="56"/>
        <v>-9.6081352048123764E-2</v>
      </c>
      <c r="O86" s="11"/>
      <c r="P86" s="6">
        <v>2350.98</v>
      </c>
      <c r="Q86" s="2"/>
      <c r="R86" s="7">
        <f t="shared" si="57"/>
        <v>0.36069869665610599</v>
      </c>
      <c r="S86" s="2"/>
      <c r="T86" s="6">
        <v>6695</v>
      </c>
      <c r="U86" s="2"/>
      <c r="V86" s="7">
        <f t="shared" si="58"/>
        <v>0.37970735027223229</v>
      </c>
      <c r="W86" s="2"/>
      <c r="X86" s="6">
        <f t="shared" si="59"/>
        <v>-4344.0200000000004</v>
      </c>
      <c r="Y86" s="2"/>
      <c r="Z86" s="7">
        <f t="shared" si="60"/>
        <v>-0.64884540702016436</v>
      </c>
    </row>
    <row r="87" spans="1:26" s="24" customFormat="1" hidden="1" outlineLevel="2" x14ac:dyDescent="0.25">
      <c r="A87" s="27"/>
      <c r="B87" s="11" t="str">
        <f>CONCATENATE("          ", "6286", " - ", "LAUNDRY EXPENSE")</f>
        <v xml:space="preserve">          6286 - LAUNDRY EXPENSE</v>
      </c>
      <c r="C87" s="11"/>
      <c r="D87" s="6">
        <v>147.71</v>
      </c>
      <c r="E87" s="2"/>
      <c r="F87" s="7">
        <f t="shared" si="53"/>
        <v>2.6648312989135736E-2</v>
      </c>
      <c r="G87" s="2"/>
      <c r="H87" s="6">
        <v>142</v>
      </c>
      <c r="I87" s="2"/>
      <c r="J87" s="7">
        <f t="shared" si="54"/>
        <v>1.0719408167887069E-2</v>
      </c>
      <c r="K87" s="2"/>
      <c r="L87" s="6">
        <f t="shared" si="55"/>
        <v>5.710000000000008</v>
      </c>
      <c r="M87" s="2"/>
      <c r="N87" s="7">
        <f t="shared" si="56"/>
        <v>4.0211267605633857E-2</v>
      </c>
      <c r="O87" s="11"/>
      <c r="P87" s="6">
        <v>468.29</v>
      </c>
      <c r="Q87" s="2"/>
      <c r="R87" s="7">
        <f t="shared" si="57"/>
        <v>7.1847311613492199E-2</v>
      </c>
      <c r="S87" s="2"/>
      <c r="T87" s="6">
        <v>184</v>
      </c>
      <c r="U87" s="2"/>
      <c r="V87" s="7">
        <f t="shared" si="58"/>
        <v>1.0435571687840291E-2</v>
      </c>
      <c r="W87" s="2"/>
      <c r="X87" s="6">
        <f t="shared" si="59"/>
        <v>284.29000000000002</v>
      </c>
      <c r="Y87" s="2"/>
      <c r="Z87" s="7">
        <f t="shared" si="60"/>
        <v>1.545054347826087</v>
      </c>
    </row>
    <row r="88" spans="1:26" s="29" customFormat="1" outlineLevel="1" collapsed="1" x14ac:dyDescent="0.25">
      <c r="A88" s="28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1">
        <f>SUM(OSRRefD22_16x_0)</f>
        <v>0</v>
      </c>
      <c r="E88" s="1"/>
      <c r="F88" s="5">
        <f t="shared" ref="F88:F101" si="61">IF(D$12=0,0,D88/D$12)</f>
        <v>0</v>
      </c>
      <c r="G88" s="1"/>
      <c r="H88" s="1">
        <f>SUM(OSRRefH22_16x_0)</f>
        <v>373</v>
      </c>
      <c r="I88" s="1"/>
      <c r="J88" s="5">
        <f t="shared" ref="J88:J101" si="62">IF(H$12=0,0,H88/H$12)</f>
        <v>2.815731863818223E-2</v>
      </c>
      <c r="K88" s="1"/>
      <c r="L88" s="1">
        <f t="shared" ref="L88:L101" si="63">+D88-H88</f>
        <v>-373</v>
      </c>
      <c r="M88" s="1"/>
      <c r="N88" s="5">
        <f t="shared" ref="N88:N101" si="64">IF(H88=0,0,L88/H88)</f>
        <v>-1</v>
      </c>
      <c r="O88" s="14"/>
      <c r="P88" s="1">
        <f>SUM(OSRRefP22_16x_0)</f>
        <v>9.32</v>
      </c>
      <c r="Q88" s="1"/>
      <c r="R88" s="5">
        <f t="shared" ref="R88:R101" si="65">IF(P$12=0,0,P88/P$12)</f>
        <v>1.4299193752541103E-3</v>
      </c>
      <c r="S88" s="1"/>
      <c r="T88" s="1">
        <f>SUM(OSRRefT22_16x_0)</f>
        <v>746</v>
      </c>
      <c r="U88" s="1"/>
      <c r="V88" s="5">
        <f t="shared" ref="V88:V101" si="66">IF(T$12=0,0,T88/T$12)</f>
        <v>4.2309437386569872E-2</v>
      </c>
      <c r="W88" s="1"/>
      <c r="X88" s="1">
        <f t="shared" ref="X88:X101" si="67">+P88-T88</f>
        <v>-736.68</v>
      </c>
      <c r="Y88" s="1"/>
      <c r="Z88" s="5">
        <f t="shared" ref="Z88:Z101" si="68">IF(T88=0,0,X88/T88)</f>
        <v>-0.98750670241286853</v>
      </c>
    </row>
    <row r="89" spans="1:26" s="24" customFormat="1" hidden="1" outlineLevel="2" x14ac:dyDescent="0.25">
      <c r="A89" s="27"/>
      <c r="B89" s="11" t="str">
        <f>CONCATENATE("          ", "6275", " - ", "SUBSCRIPTIONS")</f>
        <v xml:space="preserve">          6275 - SUBSCRIPTIONS</v>
      </c>
      <c r="C89" s="11"/>
      <c r="D89" s="6"/>
      <c r="E89" s="2"/>
      <c r="F89" s="7">
        <f t="shared" si="61"/>
        <v>0</v>
      </c>
      <c r="G89" s="2"/>
      <c r="H89" s="6">
        <v>373</v>
      </c>
      <c r="I89" s="2"/>
      <c r="J89" s="7">
        <f t="shared" si="62"/>
        <v>2.815731863818223E-2</v>
      </c>
      <c r="K89" s="2"/>
      <c r="L89" s="6">
        <f t="shared" si="63"/>
        <v>-373</v>
      </c>
      <c r="M89" s="2"/>
      <c r="N89" s="7">
        <f t="shared" si="64"/>
        <v>-1</v>
      </c>
      <c r="O89" s="11"/>
      <c r="P89" s="6">
        <v>9.32</v>
      </c>
      <c r="Q89" s="2"/>
      <c r="R89" s="7">
        <f t="shared" si="65"/>
        <v>1.4299193752541103E-3</v>
      </c>
      <c r="S89" s="2"/>
      <c r="T89" s="6">
        <v>746</v>
      </c>
      <c r="U89" s="2"/>
      <c r="V89" s="7">
        <f t="shared" si="66"/>
        <v>4.2309437386569872E-2</v>
      </c>
      <c r="W89" s="2"/>
      <c r="X89" s="6">
        <f t="shared" si="67"/>
        <v>-736.68</v>
      </c>
      <c r="Y89" s="2"/>
      <c r="Z89" s="7">
        <f t="shared" si="68"/>
        <v>-0.98750670241286853</v>
      </c>
    </row>
    <row r="90" spans="1:26" s="29" customFormat="1" outlineLevel="1" collapsed="1" x14ac:dyDescent="0.25">
      <c r="A90" s="28"/>
      <c r="B90" s="14" t="str">
        <f>CONCATENATE("     ","Supplies                                          ")</f>
        <v xml:space="preserve">     Supplies                                          </v>
      </c>
      <c r="C90" s="14"/>
      <c r="D90" s="1">
        <f>SUM(OSRRefD22_17x_0)</f>
        <v>-28537.239999999998</v>
      </c>
      <c r="E90" s="1"/>
      <c r="F90" s="5">
        <f t="shared" si="61"/>
        <v>-5.1483941734891596</v>
      </c>
      <c r="G90" s="1"/>
      <c r="H90" s="1">
        <f>SUM(OSRRefH22_17x_0)</f>
        <v>8974</v>
      </c>
      <c r="I90" s="1"/>
      <c r="J90" s="5">
        <f t="shared" si="62"/>
        <v>0.67743640069449684</v>
      </c>
      <c r="K90" s="1"/>
      <c r="L90" s="1">
        <f t="shared" si="63"/>
        <v>-37511.24</v>
      </c>
      <c r="M90" s="1"/>
      <c r="N90" s="5">
        <f t="shared" si="64"/>
        <v>-4.1799910853576998</v>
      </c>
      <c r="O90" s="14"/>
      <c r="P90" s="1">
        <f>SUM(OSRRefP22_17x_0)</f>
        <v>-27843.829999999998</v>
      </c>
      <c r="Q90" s="1"/>
      <c r="R90" s="5">
        <f t="shared" si="65"/>
        <v>-4.2719347637641256</v>
      </c>
      <c r="S90" s="1"/>
      <c r="T90" s="1">
        <f>SUM(OSRRefT22_17x_0)</f>
        <v>10775</v>
      </c>
      <c r="U90" s="1"/>
      <c r="V90" s="5">
        <f t="shared" si="66"/>
        <v>0.61110480943738654</v>
      </c>
      <c r="W90" s="1"/>
      <c r="X90" s="1">
        <f t="shared" si="67"/>
        <v>-38618.83</v>
      </c>
      <c r="Y90" s="1"/>
      <c r="Z90" s="5">
        <f t="shared" si="68"/>
        <v>-3.5841141531322509</v>
      </c>
    </row>
    <row r="91" spans="1:26" s="24" customFormat="1" hidden="1" outlineLevel="2" x14ac:dyDescent="0.25">
      <c r="A91" s="27"/>
      <c r="B91" s="11" t="str">
        <f>CONCATENATE("          ", "6234", " - ", "EXPENDABLE SUPPLIES &amp; EQUIPMEN")</f>
        <v xml:space="preserve">          6234 - EXPENDABLE SUPPLIES &amp; EQUIPMEN</v>
      </c>
      <c r="C91" s="11"/>
      <c r="D91" s="6">
        <v>255.78</v>
      </c>
      <c r="E91" s="2"/>
      <c r="F91" s="7">
        <f t="shared" si="61"/>
        <v>4.6145186489480322E-2</v>
      </c>
      <c r="G91" s="2"/>
      <c r="H91" s="6">
        <v>0</v>
      </c>
      <c r="I91" s="2"/>
      <c r="J91" s="7">
        <f t="shared" si="62"/>
        <v>0</v>
      </c>
      <c r="K91" s="2"/>
      <c r="L91" s="6">
        <f t="shared" si="63"/>
        <v>255.78</v>
      </c>
      <c r="M91" s="2"/>
      <c r="N91" s="7">
        <f t="shared" si="64"/>
        <v>0</v>
      </c>
      <c r="O91" s="11"/>
      <c r="P91" s="6">
        <v>255.78</v>
      </c>
      <c r="Q91" s="2"/>
      <c r="R91" s="7">
        <f t="shared" si="65"/>
        <v>3.9243001910139089E-2</v>
      </c>
      <c r="S91" s="2"/>
      <c r="T91" s="6">
        <v>0</v>
      </c>
      <c r="U91" s="2"/>
      <c r="V91" s="7">
        <f t="shared" si="66"/>
        <v>0</v>
      </c>
      <c r="W91" s="2"/>
      <c r="X91" s="6">
        <f t="shared" si="67"/>
        <v>255.78</v>
      </c>
      <c r="Y91" s="2"/>
      <c r="Z91" s="7">
        <f t="shared" si="68"/>
        <v>0</v>
      </c>
    </row>
    <row r="92" spans="1:26" s="24" customFormat="1" hidden="1" outlineLevel="2" x14ac:dyDescent="0.25">
      <c r="A92" s="27"/>
      <c r="B92" s="11" t="str">
        <f>CONCATENATE("          ", "6235", " - ", "COVID-19 EXPENSES")</f>
        <v xml:space="preserve">          6235 - COVID-19 EXPENSES</v>
      </c>
      <c r="C92" s="11"/>
      <c r="D92" s="6">
        <v>286.14999999999998</v>
      </c>
      <c r="E92" s="2"/>
      <c r="F92" s="7">
        <f t="shared" si="61"/>
        <v>5.1624228297618237E-2</v>
      </c>
      <c r="G92" s="2"/>
      <c r="H92" s="6">
        <v>1200</v>
      </c>
      <c r="I92" s="2"/>
      <c r="J92" s="7">
        <f t="shared" si="62"/>
        <v>9.0586547897637204E-2</v>
      </c>
      <c r="K92" s="2"/>
      <c r="L92" s="6">
        <f t="shared" si="63"/>
        <v>-913.85</v>
      </c>
      <c r="M92" s="2"/>
      <c r="N92" s="7">
        <f t="shared" si="64"/>
        <v>-0.76154166666666667</v>
      </c>
      <c r="O92" s="11"/>
      <c r="P92" s="6">
        <v>1029.24</v>
      </c>
      <c r="Q92" s="2"/>
      <c r="R92" s="7">
        <f t="shared" si="65"/>
        <v>0.15791096757366313</v>
      </c>
      <c r="S92" s="2"/>
      <c r="T92" s="6">
        <v>1200</v>
      </c>
      <c r="U92" s="2"/>
      <c r="V92" s="7">
        <f t="shared" si="66"/>
        <v>6.8058076225045366E-2</v>
      </c>
      <c r="W92" s="2"/>
      <c r="X92" s="6">
        <f t="shared" si="67"/>
        <v>-170.76</v>
      </c>
      <c r="Y92" s="2"/>
      <c r="Z92" s="7">
        <f t="shared" si="68"/>
        <v>-0.14229999999999998</v>
      </c>
    </row>
    <row r="93" spans="1:26" s="24" customFormat="1" hidden="1" outlineLevel="2" x14ac:dyDescent="0.25">
      <c r="A93" s="27"/>
      <c r="B93" s="11" t="str">
        <f>CONCATENATE("          ", "6237", " - ", "JANITORIAL SUPPLIES")</f>
        <v xml:space="preserve">          6237 - JANITORIAL SUPPLIES</v>
      </c>
      <c r="C93" s="11"/>
      <c r="D93" s="6"/>
      <c r="E93" s="2"/>
      <c r="F93" s="7">
        <f t="shared" si="61"/>
        <v>0</v>
      </c>
      <c r="G93" s="2"/>
      <c r="H93" s="6">
        <v>719</v>
      </c>
      <c r="I93" s="2"/>
      <c r="J93" s="7">
        <f t="shared" si="62"/>
        <v>5.4276439948667619E-2</v>
      </c>
      <c r="K93" s="2"/>
      <c r="L93" s="6">
        <f t="shared" si="63"/>
        <v>-719</v>
      </c>
      <c r="M93" s="2"/>
      <c r="N93" s="7">
        <f t="shared" si="64"/>
        <v>-1</v>
      </c>
      <c r="O93" s="11"/>
      <c r="P93" s="6"/>
      <c r="Q93" s="2"/>
      <c r="R93" s="7">
        <f t="shared" si="65"/>
        <v>0</v>
      </c>
      <c r="S93" s="2"/>
      <c r="T93" s="6">
        <v>1242</v>
      </c>
      <c r="U93" s="2"/>
      <c r="V93" s="7">
        <f t="shared" si="66"/>
        <v>7.044010889292196E-2</v>
      </c>
      <c r="W93" s="2"/>
      <c r="X93" s="6">
        <f t="shared" si="67"/>
        <v>-1242</v>
      </c>
      <c r="Y93" s="2"/>
      <c r="Z93" s="7">
        <f t="shared" si="68"/>
        <v>-1</v>
      </c>
    </row>
    <row r="94" spans="1:26" s="24" customFormat="1" hidden="1" outlineLevel="2" x14ac:dyDescent="0.25">
      <c r="A94" s="27"/>
      <c r="B94" s="11" t="str">
        <f>CONCATENATE("          ", "6239", " - ", "KITCHEN SUPPLIES")</f>
        <v xml:space="preserve">          6239 - KITCHEN SUPPLIES</v>
      </c>
      <c r="C94" s="11"/>
      <c r="D94" s="6"/>
      <c r="E94" s="2"/>
      <c r="F94" s="7">
        <f t="shared" si="61"/>
        <v>0</v>
      </c>
      <c r="G94" s="2"/>
      <c r="H94" s="6">
        <v>73</v>
      </c>
      <c r="I94" s="2"/>
      <c r="J94" s="7">
        <f t="shared" si="62"/>
        <v>5.5106816637729298E-3</v>
      </c>
      <c r="K94" s="2"/>
      <c r="L94" s="6">
        <f t="shared" si="63"/>
        <v>-73</v>
      </c>
      <c r="M94" s="2"/>
      <c r="N94" s="7">
        <f t="shared" si="64"/>
        <v>-1</v>
      </c>
      <c r="O94" s="11"/>
      <c r="P94" s="6"/>
      <c r="Q94" s="2"/>
      <c r="R94" s="7">
        <f t="shared" si="65"/>
        <v>0</v>
      </c>
      <c r="S94" s="2"/>
      <c r="T94" s="6">
        <v>136</v>
      </c>
      <c r="U94" s="2"/>
      <c r="V94" s="7">
        <f t="shared" si="66"/>
        <v>7.7132486388384758E-3</v>
      </c>
      <c r="W94" s="2"/>
      <c r="X94" s="6">
        <f t="shared" si="67"/>
        <v>-136</v>
      </c>
      <c r="Y94" s="2"/>
      <c r="Z94" s="7">
        <f t="shared" si="68"/>
        <v>-1</v>
      </c>
    </row>
    <row r="95" spans="1:26" s="24" customFormat="1" hidden="1" outlineLevel="2" x14ac:dyDescent="0.25">
      <c r="A95" s="27"/>
      <c r="B95" s="11" t="str">
        <f>CONCATENATE("          ", "6241", " - ", "OFFICE EXPENSE")</f>
        <v xml:space="preserve">          6241 - OFFICE EXPENSE</v>
      </c>
      <c r="C95" s="11"/>
      <c r="D95" s="6">
        <v>-29159.449999999997</v>
      </c>
      <c r="E95" s="2"/>
      <c r="F95" s="7">
        <f t="shared" si="61"/>
        <v>-5.2606468769281287</v>
      </c>
      <c r="G95" s="2"/>
      <c r="H95" s="6">
        <v>4765</v>
      </c>
      <c r="I95" s="2"/>
      <c r="J95" s="7">
        <f t="shared" si="62"/>
        <v>0.35970408394353437</v>
      </c>
      <c r="K95" s="2"/>
      <c r="L95" s="6">
        <f t="shared" si="63"/>
        <v>-33924.449999999997</v>
      </c>
      <c r="M95" s="2"/>
      <c r="N95" s="7">
        <f t="shared" si="64"/>
        <v>-7.119506820566631</v>
      </c>
      <c r="O95" s="11"/>
      <c r="P95" s="6">
        <v>-29209.129999999997</v>
      </c>
      <c r="Q95" s="2"/>
      <c r="R95" s="7">
        <f t="shared" si="65"/>
        <v>-4.4814056782527985</v>
      </c>
      <c r="S95" s="2"/>
      <c r="T95" s="6">
        <v>4834</v>
      </c>
      <c r="U95" s="2"/>
      <c r="V95" s="7">
        <f t="shared" si="66"/>
        <v>0.27416061705989109</v>
      </c>
      <c r="W95" s="2"/>
      <c r="X95" s="6">
        <f t="shared" si="67"/>
        <v>-34043.129999999997</v>
      </c>
      <c r="Y95" s="2"/>
      <c r="Z95" s="7">
        <f t="shared" si="68"/>
        <v>-7.0424348365742651</v>
      </c>
    </row>
    <row r="96" spans="1:26" s="24" customFormat="1" hidden="1" outlineLevel="2" x14ac:dyDescent="0.25">
      <c r="A96" s="27"/>
      <c r="B96" s="11" t="str">
        <f>CONCATENATE("          ", "6243", " - ", "PAPER SUPPLIES")</f>
        <v xml:space="preserve">          6243 - PAPER SUPPLIES</v>
      </c>
      <c r="C96" s="11"/>
      <c r="D96" s="6"/>
      <c r="E96" s="2"/>
      <c r="F96" s="7">
        <f t="shared" si="61"/>
        <v>0</v>
      </c>
      <c r="G96" s="2"/>
      <c r="H96" s="6">
        <v>694</v>
      </c>
      <c r="I96" s="2"/>
      <c r="J96" s="7">
        <f t="shared" si="62"/>
        <v>5.2389220200800182E-2</v>
      </c>
      <c r="K96" s="2"/>
      <c r="L96" s="6">
        <f t="shared" si="63"/>
        <v>-694</v>
      </c>
      <c r="M96" s="2"/>
      <c r="N96" s="7">
        <f t="shared" si="64"/>
        <v>-1</v>
      </c>
      <c r="O96" s="11"/>
      <c r="P96" s="6"/>
      <c r="Q96" s="2"/>
      <c r="R96" s="7">
        <f t="shared" si="65"/>
        <v>0</v>
      </c>
      <c r="S96" s="2"/>
      <c r="T96" s="6">
        <v>1053</v>
      </c>
      <c r="U96" s="2"/>
      <c r="V96" s="7">
        <f t="shared" si="66"/>
        <v>5.9720961887477317E-2</v>
      </c>
      <c r="W96" s="2"/>
      <c r="X96" s="6">
        <f t="shared" si="67"/>
        <v>-1053</v>
      </c>
      <c r="Y96" s="2"/>
      <c r="Z96" s="7">
        <f t="shared" si="68"/>
        <v>-1</v>
      </c>
    </row>
    <row r="97" spans="1:26" s="24" customFormat="1" hidden="1" outlineLevel="2" x14ac:dyDescent="0.25">
      <c r="A97" s="27"/>
      <c r="B97" s="11" t="str">
        <f>CONCATENATE("          ", "6244", " - ", "SAFETY SUPPLY EXPENSE")</f>
        <v xml:space="preserve">          6244 - SAFETY SUPPLY EXPENSE</v>
      </c>
      <c r="C97" s="11"/>
      <c r="D97" s="6"/>
      <c r="E97" s="2"/>
      <c r="F97" s="7">
        <f t="shared" si="61"/>
        <v>0</v>
      </c>
      <c r="G97" s="2"/>
      <c r="H97" s="6">
        <v>0</v>
      </c>
      <c r="I97" s="2"/>
      <c r="J97" s="7">
        <f t="shared" si="62"/>
        <v>0</v>
      </c>
      <c r="K97" s="2"/>
      <c r="L97" s="6">
        <f t="shared" si="63"/>
        <v>0</v>
      </c>
      <c r="M97" s="2"/>
      <c r="N97" s="7">
        <f t="shared" si="64"/>
        <v>0</v>
      </c>
      <c r="O97" s="11"/>
      <c r="P97" s="6"/>
      <c r="Q97" s="2"/>
      <c r="R97" s="7">
        <f t="shared" si="65"/>
        <v>0</v>
      </c>
      <c r="S97" s="2"/>
      <c r="T97" s="6">
        <v>0</v>
      </c>
      <c r="U97" s="2"/>
      <c r="V97" s="7">
        <f t="shared" si="66"/>
        <v>0</v>
      </c>
      <c r="W97" s="2"/>
      <c r="X97" s="6">
        <f t="shared" si="67"/>
        <v>0</v>
      </c>
      <c r="Y97" s="2"/>
      <c r="Z97" s="7">
        <f t="shared" si="68"/>
        <v>0</v>
      </c>
    </row>
    <row r="98" spans="1:26" s="24" customFormat="1" hidden="1" outlineLevel="2" x14ac:dyDescent="0.25">
      <c r="A98" s="27"/>
      <c r="B98" s="11" t="str">
        <f>CONCATENATE("          ", "6245", " - ", "PRINTING")</f>
        <v xml:space="preserve">          6245 - PRINTING</v>
      </c>
      <c r="C98" s="11"/>
      <c r="D98" s="6"/>
      <c r="E98" s="2"/>
      <c r="F98" s="7">
        <f t="shared" si="61"/>
        <v>0</v>
      </c>
      <c r="G98" s="2"/>
      <c r="H98" s="6">
        <v>0</v>
      </c>
      <c r="I98" s="2"/>
      <c r="J98" s="7">
        <f t="shared" si="62"/>
        <v>0</v>
      </c>
      <c r="K98" s="2"/>
      <c r="L98" s="6">
        <f t="shared" si="63"/>
        <v>0</v>
      </c>
      <c r="M98" s="2"/>
      <c r="N98" s="7">
        <f t="shared" si="64"/>
        <v>0</v>
      </c>
      <c r="O98" s="11"/>
      <c r="P98" s="6"/>
      <c r="Q98" s="2"/>
      <c r="R98" s="7">
        <f t="shared" si="65"/>
        <v>0</v>
      </c>
      <c r="S98" s="2"/>
      <c r="T98" s="6">
        <v>0</v>
      </c>
      <c r="U98" s="2"/>
      <c r="V98" s="7">
        <f t="shared" si="66"/>
        <v>0</v>
      </c>
      <c r="W98" s="2"/>
      <c r="X98" s="6">
        <f t="shared" si="67"/>
        <v>0</v>
      </c>
      <c r="Y98" s="2"/>
      <c r="Z98" s="7">
        <f t="shared" si="68"/>
        <v>0</v>
      </c>
    </row>
    <row r="99" spans="1:26" s="24" customFormat="1" hidden="1" outlineLevel="2" x14ac:dyDescent="0.25">
      <c r="A99" s="27"/>
      <c r="B99" s="11" t="str">
        <f>CONCATENATE("          ", "6246", " - ", "REPLACEMENTS")</f>
        <v xml:space="preserve">          6246 - REPLACEMENTS</v>
      </c>
      <c r="C99" s="11"/>
      <c r="D99" s="6"/>
      <c r="E99" s="2"/>
      <c r="F99" s="7">
        <f t="shared" si="61"/>
        <v>0</v>
      </c>
      <c r="G99" s="2"/>
      <c r="H99" s="6">
        <v>0</v>
      </c>
      <c r="I99" s="2"/>
      <c r="J99" s="7">
        <f t="shared" si="62"/>
        <v>0</v>
      </c>
      <c r="K99" s="2"/>
      <c r="L99" s="6">
        <f t="shared" si="63"/>
        <v>0</v>
      </c>
      <c r="M99" s="2"/>
      <c r="N99" s="7">
        <f t="shared" si="64"/>
        <v>0</v>
      </c>
      <c r="O99" s="11"/>
      <c r="P99" s="6"/>
      <c r="Q99" s="2"/>
      <c r="R99" s="7">
        <f t="shared" si="65"/>
        <v>0</v>
      </c>
      <c r="S99" s="2"/>
      <c r="T99" s="6">
        <v>0</v>
      </c>
      <c r="U99" s="2"/>
      <c r="V99" s="7">
        <f t="shared" si="66"/>
        <v>0</v>
      </c>
      <c r="W99" s="2"/>
      <c r="X99" s="6">
        <f t="shared" si="67"/>
        <v>0</v>
      </c>
      <c r="Y99" s="2"/>
      <c r="Z99" s="7">
        <f t="shared" si="68"/>
        <v>0</v>
      </c>
    </row>
    <row r="100" spans="1:26" s="24" customFormat="1" hidden="1" outlineLevel="2" x14ac:dyDescent="0.25">
      <c r="A100" s="27"/>
      <c r="B100" s="11" t="str">
        <f>CONCATENATE("          ", "6247", " - ", "STORE SUPPLIES")</f>
        <v xml:space="preserve">          6247 - STORE SUPPLIES</v>
      </c>
      <c r="C100" s="11"/>
      <c r="D100" s="6">
        <v>80.28</v>
      </c>
      <c r="E100" s="2"/>
      <c r="F100" s="7">
        <f t="shared" si="61"/>
        <v>1.4483288651870671E-2</v>
      </c>
      <c r="G100" s="2"/>
      <c r="H100" s="6">
        <v>1423</v>
      </c>
      <c r="I100" s="2"/>
      <c r="J100" s="7">
        <f t="shared" si="62"/>
        <v>0.10742054804861478</v>
      </c>
      <c r="K100" s="2"/>
      <c r="L100" s="6">
        <f t="shared" si="63"/>
        <v>-1342.72</v>
      </c>
      <c r="M100" s="2"/>
      <c r="N100" s="7">
        <f t="shared" si="64"/>
        <v>-0.94358397751229794</v>
      </c>
      <c r="O100" s="11"/>
      <c r="P100" s="6">
        <v>80.28</v>
      </c>
      <c r="Q100" s="2"/>
      <c r="R100" s="7">
        <f t="shared" si="65"/>
        <v>1.2316945004871242E-2</v>
      </c>
      <c r="S100" s="2"/>
      <c r="T100" s="6">
        <v>2210</v>
      </c>
      <c r="U100" s="2"/>
      <c r="V100" s="7">
        <f t="shared" si="66"/>
        <v>0.12534029038112524</v>
      </c>
      <c r="W100" s="2"/>
      <c r="X100" s="6">
        <f t="shared" si="67"/>
        <v>-2129.7199999999998</v>
      </c>
      <c r="Y100" s="2"/>
      <c r="Z100" s="7">
        <f t="shared" si="68"/>
        <v>-0.96367420814479632</v>
      </c>
    </row>
    <row r="101" spans="1:26" s="24" customFormat="1" hidden="1" outlineLevel="2" x14ac:dyDescent="0.25">
      <c r="A101" s="27"/>
      <c r="B101" s="11" t="str">
        <f>CONCATENATE("          ", "6248", " - ", "UNIFORMS")</f>
        <v xml:space="preserve">          6248 - UNIFORMS</v>
      </c>
      <c r="C101" s="11"/>
      <c r="D101" s="6"/>
      <c r="E101" s="2"/>
      <c r="F101" s="7">
        <f t="shared" si="61"/>
        <v>0</v>
      </c>
      <c r="G101" s="2"/>
      <c r="H101" s="6">
        <v>100</v>
      </c>
      <c r="I101" s="2"/>
      <c r="J101" s="7">
        <f t="shared" si="62"/>
        <v>7.5488789914697667E-3</v>
      </c>
      <c r="K101" s="2"/>
      <c r="L101" s="6">
        <f t="shared" si="63"/>
        <v>-100</v>
      </c>
      <c r="M101" s="2"/>
      <c r="N101" s="7">
        <f t="shared" si="64"/>
        <v>-1</v>
      </c>
      <c r="O101" s="11"/>
      <c r="P101" s="6"/>
      <c r="Q101" s="2"/>
      <c r="R101" s="7">
        <f t="shared" si="65"/>
        <v>0</v>
      </c>
      <c r="S101" s="2"/>
      <c r="T101" s="6">
        <v>100</v>
      </c>
      <c r="U101" s="2"/>
      <c r="V101" s="7">
        <f t="shared" si="66"/>
        <v>5.6715063520871144E-3</v>
      </c>
      <c r="W101" s="2"/>
      <c r="X101" s="6">
        <f t="shared" si="67"/>
        <v>-100</v>
      </c>
      <c r="Y101" s="2"/>
      <c r="Z101" s="7">
        <f t="shared" si="68"/>
        <v>-1</v>
      </c>
    </row>
    <row r="102" spans="1:26" s="29" customFormat="1" outlineLevel="1" collapsed="1" x14ac:dyDescent="0.25">
      <c r="A102" s="28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SUM(OSRRefD22_18x_0)</f>
        <v>1617.52</v>
      </c>
      <c r="E102" s="1"/>
      <c r="F102" s="5">
        <f t="shared" ref="F102:F104" si="69">IF(D$12=0,0,D102/D$12)</f>
        <v>0.29181625635493086</v>
      </c>
      <c r="G102" s="1"/>
      <c r="H102" s="1">
        <f>SUM(OSRRefH22_18x_0)</f>
        <v>485</v>
      </c>
      <c r="I102" s="1"/>
      <c r="J102" s="5">
        <f t="shared" ref="J102:J104" si="70">IF(H$12=0,0,H102/H$12)</f>
        <v>3.661206310862837E-2</v>
      </c>
      <c r="K102" s="1"/>
      <c r="L102" s="1">
        <f t="shared" ref="L102:L104" si="71">+D102-H102</f>
        <v>1132.52</v>
      </c>
      <c r="M102" s="1"/>
      <c r="N102" s="5">
        <f t="shared" ref="N102:N104" si="72">IF(H102=0,0,L102/H102)</f>
        <v>2.3350927835051545</v>
      </c>
      <c r="O102" s="14"/>
      <c r="P102" s="1">
        <f>SUM(OSRRefP22_18x_0)</f>
        <v>3210.15</v>
      </c>
      <c r="Q102" s="1"/>
      <c r="R102" s="5">
        <f t="shared" ref="R102:R104" si="73">IF(P$12=0,0,P102/P$12)</f>
        <v>0.49251670412789506</v>
      </c>
      <c r="S102" s="1"/>
      <c r="T102" s="1">
        <f>SUM(OSRRefT22_18x_0)</f>
        <v>1209</v>
      </c>
      <c r="U102" s="1"/>
      <c r="V102" s="5">
        <f t="shared" ref="V102:V104" si="74">IF(T$12=0,0,T102/T$12)</f>
        <v>6.8568511796733206E-2</v>
      </c>
      <c r="W102" s="1"/>
      <c r="X102" s="1">
        <f t="shared" ref="X102:X104" si="75">+P102-T102</f>
        <v>2001.15</v>
      </c>
      <c r="Y102" s="1"/>
      <c r="Z102" s="5">
        <f t="shared" ref="Z102:Z104" si="76">IF(T102=0,0,X102/T102)</f>
        <v>1.6552109181141439</v>
      </c>
    </row>
    <row r="103" spans="1:26" s="24" customFormat="1" hidden="1" outlineLevel="2" x14ac:dyDescent="0.25">
      <c r="A103" s="27"/>
      <c r="B103" s="11" t="str">
        <f>CONCATENATE("          ", "6303", " - ", "DATA PHONE LINES")</f>
        <v xml:space="preserve">          6303 - DATA PHONE LINES</v>
      </c>
      <c r="C103" s="11"/>
      <c r="D103" s="6"/>
      <c r="E103" s="2"/>
      <c r="F103" s="7">
        <f t="shared" si="69"/>
        <v>0</v>
      </c>
      <c r="G103" s="2"/>
      <c r="H103" s="6">
        <v>385</v>
      </c>
      <c r="I103" s="2"/>
      <c r="J103" s="7">
        <f t="shared" si="70"/>
        <v>2.9063184117158601E-2</v>
      </c>
      <c r="K103" s="2"/>
      <c r="L103" s="6">
        <f t="shared" si="71"/>
        <v>-385</v>
      </c>
      <c r="M103" s="2"/>
      <c r="N103" s="7">
        <f t="shared" si="72"/>
        <v>-1</v>
      </c>
      <c r="O103" s="11"/>
      <c r="P103" s="6"/>
      <c r="Q103" s="2"/>
      <c r="R103" s="7">
        <f t="shared" si="73"/>
        <v>0</v>
      </c>
      <c r="S103" s="2"/>
      <c r="T103" s="6">
        <v>709</v>
      </c>
      <c r="U103" s="2"/>
      <c r="V103" s="7">
        <f t="shared" si="74"/>
        <v>4.0210980036297639E-2</v>
      </c>
      <c r="W103" s="2"/>
      <c r="X103" s="6">
        <f t="shared" si="75"/>
        <v>-709</v>
      </c>
      <c r="Y103" s="2"/>
      <c r="Z103" s="7">
        <f t="shared" si="76"/>
        <v>-1</v>
      </c>
    </row>
    <row r="104" spans="1:26" s="24" customFormat="1" hidden="1" outlineLevel="2" x14ac:dyDescent="0.25">
      <c r="A104" s="27"/>
      <c r="B104" s="11" t="str">
        <f>CONCATENATE("          ", "6309", " - ", "TELEPHONE")</f>
        <v xml:space="preserve">          6309 - TELEPHONE</v>
      </c>
      <c r="C104" s="11"/>
      <c r="D104" s="6">
        <v>1617.52</v>
      </c>
      <c r="E104" s="2"/>
      <c r="F104" s="7">
        <f t="shared" si="69"/>
        <v>0.29181625635493086</v>
      </c>
      <c r="G104" s="2"/>
      <c r="H104" s="6">
        <v>100</v>
      </c>
      <c r="I104" s="2"/>
      <c r="J104" s="7">
        <f t="shared" si="70"/>
        <v>7.5488789914697667E-3</v>
      </c>
      <c r="K104" s="2"/>
      <c r="L104" s="6">
        <f t="shared" si="71"/>
        <v>1517.52</v>
      </c>
      <c r="M104" s="2"/>
      <c r="N104" s="7">
        <f t="shared" si="72"/>
        <v>15.1752</v>
      </c>
      <c r="O104" s="11"/>
      <c r="P104" s="6">
        <v>3210.15</v>
      </c>
      <c r="Q104" s="2"/>
      <c r="R104" s="7">
        <f t="shared" si="73"/>
        <v>0.49251670412789506</v>
      </c>
      <c r="S104" s="2"/>
      <c r="T104" s="6">
        <v>500</v>
      </c>
      <c r="U104" s="2"/>
      <c r="V104" s="7">
        <f t="shared" si="74"/>
        <v>2.835753176043557E-2</v>
      </c>
      <c r="W104" s="2"/>
      <c r="X104" s="6">
        <f t="shared" si="75"/>
        <v>2710.15</v>
      </c>
      <c r="Y104" s="2"/>
      <c r="Z104" s="7">
        <f t="shared" si="76"/>
        <v>5.4203000000000001</v>
      </c>
    </row>
    <row r="105" spans="1:26" s="29" customFormat="1" outlineLevel="1" collapsed="1" x14ac:dyDescent="0.25">
      <c r="A105" s="28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SUM(OSRRefD22_19x_0)</f>
        <v>0</v>
      </c>
      <c r="E105" s="1"/>
      <c r="F105" s="5">
        <f t="shared" ref="F105:F109" si="77">IF(D$12=0,0,D105/D$12)</f>
        <v>0</v>
      </c>
      <c r="G105" s="1"/>
      <c r="H105" s="1">
        <f>SUM(OSRRefH22_19x_0)</f>
        <v>120</v>
      </c>
      <c r="I105" s="1"/>
      <c r="J105" s="5">
        <f t="shared" ref="J105:J109" si="78">IF(H$12=0,0,H105/H$12)</f>
        <v>9.0586547897637208E-3</v>
      </c>
      <c r="K105" s="1"/>
      <c r="L105" s="1">
        <f t="shared" ref="L105:L109" si="79">+D105-H105</f>
        <v>-120</v>
      </c>
      <c r="M105" s="1"/>
      <c r="N105" s="5">
        <f t="shared" ref="N105:N109" si="80">IF(H105=0,0,L105/H105)</f>
        <v>-1</v>
      </c>
      <c r="O105" s="14"/>
      <c r="P105" s="1">
        <f>SUM(OSRRefP22_19x_0)</f>
        <v>0</v>
      </c>
      <c r="Q105" s="1"/>
      <c r="R105" s="5">
        <f t="shared" ref="R105:R109" si="81">IF(P$12=0,0,P105/P$12)</f>
        <v>0</v>
      </c>
      <c r="S105" s="1"/>
      <c r="T105" s="1">
        <f>SUM(OSRRefT22_19x_0)</f>
        <v>120</v>
      </c>
      <c r="U105" s="1"/>
      <c r="V105" s="5">
        <f t="shared" ref="V105:V109" si="82">IF(T$12=0,0,T105/T$12)</f>
        <v>6.8058076225045372E-3</v>
      </c>
      <c r="W105" s="1"/>
      <c r="X105" s="1">
        <f t="shared" ref="X105:X109" si="83">+P105-T105</f>
        <v>-120</v>
      </c>
      <c r="Y105" s="1"/>
      <c r="Z105" s="5">
        <f t="shared" ref="Z105:Z109" si="84">IF(T105=0,0,X105/T105)</f>
        <v>-1</v>
      </c>
    </row>
    <row r="106" spans="1:26" s="24" customFormat="1" hidden="1" outlineLevel="2" x14ac:dyDescent="0.25">
      <c r="A106" s="27"/>
      <c r="B106" s="11" t="str">
        <f>CONCATENATE("          ", "6376", " - ", "TRAINING")</f>
        <v xml:space="preserve">          6376 - TRAINING</v>
      </c>
      <c r="C106" s="11"/>
      <c r="D106" s="6"/>
      <c r="E106" s="2"/>
      <c r="F106" s="7">
        <f t="shared" si="77"/>
        <v>0</v>
      </c>
      <c r="G106" s="2"/>
      <c r="H106" s="6">
        <v>120</v>
      </c>
      <c r="I106" s="2"/>
      <c r="J106" s="7">
        <f t="shared" si="78"/>
        <v>9.0586547897637208E-3</v>
      </c>
      <c r="K106" s="2"/>
      <c r="L106" s="6">
        <f t="shared" si="79"/>
        <v>-120</v>
      </c>
      <c r="M106" s="2"/>
      <c r="N106" s="7">
        <f t="shared" si="80"/>
        <v>-1</v>
      </c>
      <c r="O106" s="11"/>
      <c r="P106" s="6"/>
      <c r="Q106" s="2"/>
      <c r="R106" s="7">
        <f t="shared" si="81"/>
        <v>0</v>
      </c>
      <c r="S106" s="2"/>
      <c r="T106" s="6">
        <v>120</v>
      </c>
      <c r="U106" s="2"/>
      <c r="V106" s="7">
        <f t="shared" si="82"/>
        <v>6.8058076225045372E-3</v>
      </c>
      <c r="W106" s="2"/>
      <c r="X106" s="6">
        <f t="shared" si="83"/>
        <v>-120</v>
      </c>
      <c r="Y106" s="2"/>
      <c r="Z106" s="7">
        <f t="shared" si="84"/>
        <v>-1</v>
      </c>
    </row>
    <row r="107" spans="1:26" s="29" customFormat="1" outlineLevel="1" collapsed="1" x14ac:dyDescent="0.25">
      <c r="A107" s="28"/>
      <c r="B107" s="14" t="str">
        <f>CONCATENATE("     ","Travel                                            ")</f>
        <v xml:space="preserve">     Travel                                            </v>
      </c>
      <c r="C107" s="14"/>
      <c r="D107" s="1">
        <f>SUM(OSRRefD22_20x_0)</f>
        <v>0</v>
      </c>
      <c r="E107" s="1"/>
      <c r="F107" s="5">
        <f t="shared" si="77"/>
        <v>0</v>
      </c>
      <c r="G107" s="1"/>
      <c r="H107" s="1">
        <f>SUM(OSRRefH22_20x_0)</f>
        <v>0</v>
      </c>
      <c r="I107" s="1"/>
      <c r="J107" s="5">
        <f t="shared" si="78"/>
        <v>0</v>
      </c>
      <c r="K107" s="1"/>
      <c r="L107" s="1">
        <f t="shared" si="79"/>
        <v>0</v>
      </c>
      <c r="M107" s="1"/>
      <c r="N107" s="5">
        <f t="shared" si="80"/>
        <v>0</v>
      </c>
      <c r="O107" s="14"/>
      <c r="P107" s="1">
        <f>SUM(OSRRefP22_20x_0)</f>
        <v>179.69</v>
      </c>
      <c r="Q107" s="1"/>
      <c r="R107" s="5">
        <f t="shared" si="81"/>
        <v>2.7568906924829512E-2</v>
      </c>
      <c r="S107" s="1"/>
      <c r="T107" s="1">
        <f>SUM(OSRRefT22_20x_0)</f>
        <v>0</v>
      </c>
      <c r="U107" s="1"/>
      <c r="V107" s="5">
        <f t="shared" si="82"/>
        <v>0</v>
      </c>
      <c r="W107" s="1"/>
      <c r="X107" s="1">
        <f t="shared" si="83"/>
        <v>179.69</v>
      </c>
      <c r="Y107" s="1"/>
      <c r="Z107" s="5">
        <f t="shared" si="84"/>
        <v>0</v>
      </c>
    </row>
    <row r="108" spans="1:26" s="24" customFormat="1" hidden="1" outlineLevel="2" x14ac:dyDescent="0.25">
      <c r="A108" s="27"/>
      <c r="B108" s="11" t="str">
        <f>CONCATENATE("          ", "6292", " - ", "TRAVEL/CONFERENCE")</f>
        <v xml:space="preserve">          6292 - TRAVEL/CONFERENCE</v>
      </c>
      <c r="C108" s="11"/>
      <c r="D108" s="6"/>
      <c r="E108" s="2"/>
      <c r="F108" s="7">
        <f t="shared" si="77"/>
        <v>0</v>
      </c>
      <c r="G108" s="2"/>
      <c r="H108" s="6"/>
      <c r="I108" s="2"/>
      <c r="J108" s="7">
        <f t="shared" si="78"/>
        <v>0</v>
      </c>
      <c r="K108" s="2"/>
      <c r="L108" s="6">
        <f t="shared" si="79"/>
        <v>0</v>
      </c>
      <c r="M108" s="2"/>
      <c r="N108" s="7">
        <f t="shared" si="80"/>
        <v>0</v>
      </c>
      <c r="O108" s="11"/>
      <c r="P108" s="6"/>
      <c r="Q108" s="2"/>
      <c r="R108" s="7">
        <f t="shared" si="81"/>
        <v>0</v>
      </c>
      <c r="S108" s="2"/>
      <c r="T108" s="6">
        <v>0</v>
      </c>
      <c r="U108" s="2"/>
      <c r="V108" s="7">
        <f t="shared" si="82"/>
        <v>0</v>
      </c>
      <c r="W108" s="2"/>
      <c r="X108" s="6">
        <f t="shared" si="83"/>
        <v>0</v>
      </c>
      <c r="Y108" s="2"/>
      <c r="Z108" s="7">
        <f t="shared" si="84"/>
        <v>0</v>
      </c>
    </row>
    <row r="109" spans="1:26" s="24" customFormat="1" hidden="1" outlineLevel="2" x14ac:dyDescent="0.25">
      <c r="A109" s="27"/>
      <c r="B109" s="11" t="str">
        <f>CONCATENATE("          ", "6298", " - ", "VEHICLE MILEAGE")</f>
        <v xml:space="preserve">          6298 - VEHICLE MILEAGE</v>
      </c>
      <c r="C109" s="11"/>
      <c r="D109" s="6"/>
      <c r="E109" s="2"/>
      <c r="F109" s="7">
        <f t="shared" si="77"/>
        <v>0</v>
      </c>
      <c r="G109" s="2"/>
      <c r="H109" s="6"/>
      <c r="I109" s="2"/>
      <c r="J109" s="7">
        <f t="shared" si="78"/>
        <v>0</v>
      </c>
      <c r="K109" s="2"/>
      <c r="L109" s="6">
        <f t="shared" si="79"/>
        <v>0</v>
      </c>
      <c r="M109" s="2"/>
      <c r="N109" s="7">
        <f t="shared" si="80"/>
        <v>0</v>
      </c>
      <c r="O109" s="11"/>
      <c r="P109" s="6">
        <v>179.69</v>
      </c>
      <c r="Q109" s="2"/>
      <c r="R109" s="7">
        <f t="shared" si="81"/>
        <v>2.7568906924829512E-2</v>
      </c>
      <c r="S109" s="2"/>
      <c r="T109" s="6"/>
      <c r="U109" s="2"/>
      <c r="V109" s="7">
        <f t="shared" si="82"/>
        <v>0</v>
      </c>
      <c r="W109" s="2"/>
      <c r="X109" s="6">
        <f t="shared" si="83"/>
        <v>179.69</v>
      </c>
      <c r="Y109" s="2"/>
      <c r="Z109" s="7">
        <f t="shared" si="84"/>
        <v>0</v>
      </c>
    </row>
    <row r="110" spans="1:26" s="29" customFormat="1" outlineLevel="1" collapsed="1" x14ac:dyDescent="0.25">
      <c r="A110" s="28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SUM(OSRRefD22_21x_0)</f>
        <v>2350</v>
      </c>
      <c r="E110" s="1"/>
      <c r="F110" s="5">
        <f t="shared" ref="F110:F111" si="85">IF(D$12=0,0,D110/D$12)</f>
        <v>0.42396273457767908</v>
      </c>
      <c r="G110" s="1"/>
      <c r="H110" s="1">
        <f>SUM(OSRRefH22_21x_0)</f>
        <v>3350</v>
      </c>
      <c r="I110" s="1"/>
      <c r="J110" s="5">
        <f t="shared" ref="J110:J111" si="86">IF(H$12=0,0,H110/H$12)</f>
        <v>0.2528874462142372</v>
      </c>
      <c r="K110" s="1"/>
      <c r="L110" s="1">
        <f t="shared" ref="L110:L111" si="87">+D110-H110</f>
        <v>-1000</v>
      </c>
      <c r="M110" s="1"/>
      <c r="N110" s="5">
        <f t="shared" ref="N110:N111" si="88">IF(H110=0,0,L110/H110)</f>
        <v>-0.29850746268656714</v>
      </c>
      <c r="O110" s="14"/>
      <c r="P110" s="1">
        <f>SUM(OSRRefP22_21x_0)</f>
        <v>4700</v>
      </c>
      <c r="Q110" s="1"/>
      <c r="R110" s="5">
        <f t="shared" ref="R110:R111" si="89">IF(P$12=0,0,P110/P$12)</f>
        <v>0.72109668065389676</v>
      </c>
      <c r="S110" s="1"/>
      <c r="T110" s="1">
        <f>SUM(OSRRefT22_21x_0)</f>
        <v>7471</v>
      </c>
      <c r="U110" s="1"/>
      <c r="V110" s="5">
        <f t="shared" ref="V110:V111" si="90">IF(T$12=0,0,T110/T$12)</f>
        <v>0.42371823956442833</v>
      </c>
      <c r="W110" s="1"/>
      <c r="X110" s="1">
        <f t="shared" ref="X110:X111" si="91">+P110-T110</f>
        <v>-2771</v>
      </c>
      <c r="Y110" s="1"/>
      <c r="Z110" s="5">
        <f t="shared" ref="Z110:Z111" si="92">IF(T110=0,0,X110/T110)</f>
        <v>-0.37090081649042966</v>
      </c>
    </row>
    <row r="111" spans="1:26" s="24" customFormat="1" hidden="1" outlineLevel="2" x14ac:dyDescent="0.25">
      <c r="A111" s="27"/>
      <c r="B111" s="11" t="str">
        <f>CONCATENATE("          ", "6274", " - ", "UTILITIES")</f>
        <v xml:space="preserve">          6274 - UTILITIES</v>
      </c>
      <c r="C111" s="11"/>
      <c r="D111" s="6">
        <v>2350</v>
      </c>
      <c r="E111" s="2"/>
      <c r="F111" s="7">
        <f t="shared" si="85"/>
        <v>0.42396273457767908</v>
      </c>
      <c r="G111" s="2"/>
      <c r="H111" s="6">
        <v>3350</v>
      </c>
      <c r="I111" s="2"/>
      <c r="J111" s="7">
        <f t="shared" si="86"/>
        <v>0.2528874462142372</v>
      </c>
      <c r="K111" s="2"/>
      <c r="L111" s="6">
        <f t="shared" si="87"/>
        <v>-1000</v>
      </c>
      <c r="M111" s="2"/>
      <c r="N111" s="7">
        <f t="shared" si="88"/>
        <v>-0.29850746268656714</v>
      </c>
      <c r="O111" s="11"/>
      <c r="P111" s="6">
        <v>4700</v>
      </c>
      <c r="Q111" s="2"/>
      <c r="R111" s="7">
        <f t="shared" si="89"/>
        <v>0.72109668065389676</v>
      </c>
      <c r="S111" s="2"/>
      <c r="T111" s="6">
        <v>7471</v>
      </c>
      <c r="U111" s="2"/>
      <c r="V111" s="7">
        <f t="shared" si="90"/>
        <v>0.42371823956442833</v>
      </c>
      <c r="W111" s="2"/>
      <c r="X111" s="6">
        <f t="shared" si="91"/>
        <v>-2771</v>
      </c>
      <c r="Y111" s="2"/>
      <c r="Z111" s="7">
        <f t="shared" si="92"/>
        <v>-0.37090081649042966</v>
      </c>
    </row>
    <row r="112" spans="1:26" s="61" customFormat="1" x14ac:dyDescent="0.25">
      <c r="A112" s="36"/>
      <c r="B112" s="36"/>
      <c r="C112" s="36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6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2" customFormat="1" collapsed="1" x14ac:dyDescent="0.25">
      <c r="A113" s="10"/>
      <c r="B113" s="25" t="s">
        <v>0</v>
      </c>
      <c r="C113" s="10"/>
      <c r="D113" s="4">
        <f>SUM(OSRRefD25x_0)</f>
        <v>737.84999999999991</v>
      </c>
      <c r="E113" s="4"/>
      <c r="F113" s="12">
        <f t="shared" ref="F113:F116" si="93">IF(D$12=0,0,D113/D$12)</f>
        <v>0.1331152781736768</v>
      </c>
      <c r="G113" s="4"/>
      <c r="H113" s="4">
        <f>SUM(OSRRefH25x_0)</f>
        <v>0</v>
      </c>
      <c r="I113" s="4"/>
      <c r="J113" s="12">
        <f t="shared" ref="J113:J116" si="94">IF(H$12=0,0,H113/H$12)</f>
        <v>0</v>
      </c>
      <c r="K113" s="4"/>
      <c r="L113" s="4">
        <f t="shared" ref="L113:L116" si="95">+D113-H113</f>
        <v>737.84999999999991</v>
      </c>
      <c r="M113" s="4"/>
      <c r="N113" s="12">
        <f t="shared" ref="N113:N116" si="96">IF(H113=0,0,L113/H113)</f>
        <v>0</v>
      </c>
      <c r="O113" s="10"/>
      <c r="P113" s="4">
        <f>SUM(OSRRefP25x_0)</f>
        <v>2814.39</v>
      </c>
      <c r="Q113" s="4"/>
      <c r="R113" s="12">
        <f t="shared" ref="R113:R116" si="97">IF(P$12=0,0,P113/P$12)</f>
        <v>0.4317972951203235</v>
      </c>
      <c r="S113" s="4"/>
      <c r="T113" s="4">
        <f>SUM(OSRRefT25x_0)</f>
        <v>0</v>
      </c>
      <c r="U113" s="4"/>
      <c r="V113" s="12">
        <f t="shared" ref="V113:V116" si="98">IF(T$12=0,0,T113/T$12)</f>
        <v>0</v>
      </c>
      <c r="W113" s="4"/>
      <c r="X113" s="4">
        <f t="shared" ref="X113:X116" si="99">+P113-T113</f>
        <v>2814.39</v>
      </c>
      <c r="Y113" s="4"/>
      <c r="Z113" s="12">
        <f t="shared" ref="Z113:Z116" si="100">IF(T113=0,0,X113/T113)</f>
        <v>0</v>
      </c>
    </row>
    <row r="114" spans="1:26" s="24" customFormat="1" hidden="1" outlineLevel="1" x14ac:dyDescent="0.25">
      <c r="A114" s="51"/>
      <c r="B114" s="11" t="str">
        <f>CONCATENATE("          ", "9150", " - ", "MISC. INCOME")</f>
        <v xml:space="preserve">          9150 - MISC. INCOME</v>
      </c>
      <c r="C114" s="11"/>
      <c r="D114" s="2">
        <f>--111.42</f>
        <v>111.42</v>
      </c>
      <c r="E114" s="2"/>
      <c r="F114" s="23">
        <f t="shared" si="93"/>
        <v>2.0101245909210641E-2</v>
      </c>
      <c r="G114" s="2"/>
      <c r="H114" s="2">
        <v>0</v>
      </c>
      <c r="I114" s="2"/>
      <c r="J114" s="23">
        <f t="shared" si="94"/>
        <v>0</v>
      </c>
      <c r="K114" s="2"/>
      <c r="L114" s="2">
        <f t="shared" si="95"/>
        <v>111.42</v>
      </c>
      <c r="M114" s="2"/>
      <c r="N114" s="23">
        <f t="shared" si="96"/>
        <v>0</v>
      </c>
      <c r="O114" s="11"/>
      <c r="P114" s="2">
        <f>--623.83</f>
        <v>623.83000000000004</v>
      </c>
      <c r="Q114" s="2"/>
      <c r="R114" s="23">
        <f t="shared" si="97"/>
        <v>9.5711008998366057E-2</v>
      </c>
      <c r="S114" s="2"/>
      <c r="T114" s="2">
        <v>0</v>
      </c>
      <c r="U114" s="2"/>
      <c r="V114" s="23">
        <f t="shared" si="98"/>
        <v>0</v>
      </c>
      <c r="W114" s="2"/>
      <c r="X114" s="2">
        <f t="shared" si="99"/>
        <v>623.83000000000004</v>
      </c>
      <c r="Y114" s="2"/>
      <c r="Z114" s="23">
        <f t="shared" si="100"/>
        <v>0</v>
      </c>
    </row>
    <row r="115" spans="1:26" s="24" customFormat="1" hidden="1" outlineLevel="1" x14ac:dyDescent="0.25">
      <c r="A115" s="51"/>
      <c r="B115" s="11" t="str">
        <f>CONCATENATE("          ", "9160", " - ", "MISC. INCOME")</f>
        <v xml:space="preserve">          9160 - MISC. INCOME</v>
      </c>
      <c r="C115" s="11"/>
      <c r="D115" s="2">
        <f>--626.43</f>
        <v>626.42999999999995</v>
      </c>
      <c r="E115" s="2"/>
      <c r="F115" s="23">
        <f t="shared" si="93"/>
        <v>0.11301403226446617</v>
      </c>
      <c r="G115" s="2"/>
      <c r="H115" s="2"/>
      <c r="I115" s="2"/>
      <c r="J115" s="23">
        <f t="shared" si="94"/>
        <v>0</v>
      </c>
      <c r="K115" s="2"/>
      <c r="L115" s="2">
        <f t="shared" si="95"/>
        <v>626.42999999999995</v>
      </c>
      <c r="M115" s="2"/>
      <c r="N115" s="23">
        <f t="shared" si="96"/>
        <v>0</v>
      </c>
      <c r="O115" s="11"/>
      <c r="P115" s="2">
        <f>--1990.06</f>
        <v>1990.06</v>
      </c>
      <c r="Q115" s="2"/>
      <c r="R115" s="23">
        <f t="shared" si="97"/>
        <v>0.30532460857491356</v>
      </c>
      <c r="S115" s="2"/>
      <c r="T115" s="2"/>
      <c r="U115" s="2"/>
      <c r="V115" s="23">
        <f t="shared" si="98"/>
        <v>0</v>
      </c>
      <c r="W115" s="2"/>
      <c r="X115" s="2">
        <f t="shared" si="99"/>
        <v>1990.06</v>
      </c>
      <c r="Y115" s="2"/>
      <c r="Z115" s="23">
        <f t="shared" si="100"/>
        <v>0</v>
      </c>
    </row>
    <row r="116" spans="1:26" s="24" customFormat="1" hidden="1" outlineLevel="1" x14ac:dyDescent="0.25">
      <c r="A116" s="51"/>
      <c r="B116" s="11" t="str">
        <f>CONCATENATE("          ", "9165", " - ", "OTHER INCOME")</f>
        <v xml:space="preserve">          9165 - OTHER INCOME</v>
      </c>
      <c r="C116" s="11"/>
      <c r="D116" s="2">
        <f>0</f>
        <v>0</v>
      </c>
      <c r="E116" s="2"/>
      <c r="F116" s="23">
        <f t="shared" si="93"/>
        <v>0</v>
      </c>
      <c r="G116" s="2"/>
      <c r="H116" s="2"/>
      <c r="I116" s="2"/>
      <c r="J116" s="23">
        <f t="shared" si="94"/>
        <v>0</v>
      </c>
      <c r="K116" s="2"/>
      <c r="L116" s="2">
        <f t="shared" si="95"/>
        <v>0</v>
      </c>
      <c r="M116" s="2"/>
      <c r="N116" s="23">
        <f t="shared" si="96"/>
        <v>0</v>
      </c>
      <c r="O116" s="11"/>
      <c r="P116" s="2">
        <f>--200.5</f>
        <v>200.5</v>
      </c>
      <c r="Q116" s="2"/>
      <c r="R116" s="23">
        <f t="shared" si="97"/>
        <v>3.0761677547043894E-2</v>
      </c>
      <c r="S116" s="2"/>
      <c r="T116" s="2"/>
      <c r="U116" s="2"/>
      <c r="V116" s="23">
        <f t="shared" si="98"/>
        <v>0</v>
      </c>
      <c r="W116" s="2"/>
      <c r="X116" s="2">
        <f t="shared" si="99"/>
        <v>200.5</v>
      </c>
      <c r="Y116" s="2"/>
      <c r="Z116" s="23">
        <f t="shared" si="100"/>
        <v>0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2" customFormat="1" x14ac:dyDescent="0.25">
      <c r="A118" s="10"/>
      <c r="B118" s="26" t="s">
        <v>3</v>
      </c>
      <c r="C118" s="26"/>
      <c r="D118" s="21">
        <f>+D27-D29+D113</f>
        <v>-110737.59999999999</v>
      </c>
      <c r="E118" s="13"/>
      <c r="F118" s="20">
        <f>IF(D$12=0,0,D118/D$12)</f>
        <v>-19.978134347476253</v>
      </c>
      <c r="G118" s="13"/>
      <c r="H118" s="21">
        <f>+H27-H29+H113</f>
        <v>-142859.65604667948</v>
      </c>
      <c r="I118" s="13"/>
      <c r="J118" s="20">
        <f>IF(H$12=0,0,H118/H$12)</f>
        <v>-10.784302562593755</v>
      </c>
      <c r="K118" s="16"/>
      <c r="L118" s="21">
        <f>+D118-H118</f>
        <v>32122.056046679485</v>
      </c>
      <c r="M118" s="16"/>
      <c r="N118" s="20">
        <f>IF(H118=0,0,L118/H118)</f>
        <v>-0.22485043668440294</v>
      </c>
      <c r="O118" s="25"/>
      <c r="P118" s="21">
        <f>+P27-P29+P113</f>
        <v>-269859.51</v>
      </c>
      <c r="Q118" s="13"/>
      <c r="R118" s="20">
        <f>IF(P$12=0,0,P118/P$12)</f>
        <v>-41.40314827742278</v>
      </c>
      <c r="S118" s="13"/>
      <c r="T118" s="21">
        <f>+T27-T29+T113</f>
        <v>-288493.46962907049</v>
      </c>
      <c r="U118" s="13"/>
      <c r="V118" s="20">
        <f>IF(T$12=0,0,T118/T$12)</f>
        <v>-16.361925455369242</v>
      </c>
      <c r="W118" s="16"/>
      <c r="X118" s="21">
        <f>+P118-T118</f>
        <v>18633.959629070479</v>
      </c>
      <c r="Y118" s="16"/>
      <c r="Z118" s="20">
        <f>IF(T118=0,0,X118/T118)</f>
        <v>-6.4590576878669148E-2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2" customFormat="1" x14ac:dyDescent="0.25">
      <c r="A120" s="52"/>
      <c r="B120" s="10" t="s">
        <v>14</v>
      </c>
      <c r="C120" s="10"/>
      <c r="D120" s="4">
        <v>631.57000000000005</v>
      </c>
      <c r="E120" s="4"/>
      <c r="F120" s="12">
        <f>IF(D$12=0,0,D120/D$12)</f>
        <v>0.11394133799030842</v>
      </c>
      <c r="G120" s="4"/>
      <c r="H120" s="4">
        <v>750</v>
      </c>
      <c r="I120" s="4"/>
      <c r="J120" s="12">
        <f>IF(H$12=0,0,H120/H$12)</f>
        <v>5.6616592436023253E-2</v>
      </c>
      <c r="K120" s="4"/>
      <c r="L120" s="4">
        <f>+D120-H120</f>
        <v>-118.42999999999995</v>
      </c>
      <c r="M120" s="4"/>
      <c r="N120" s="12">
        <f>IF(H120=0,0,L120/H120)</f>
        <v>-0.15790666666666661</v>
      </c>
      <c r="O120" s="10"/>
      <c r="P120" s="4">
        <v>1100.45</v>
      </c>
      <c r="Q120" s="4"/>
      <c r="R120" s="12">
        <f>IF(P$12=0,0,P120/P$12)</f>
        <v>0.16883634940969802</v>
      </c>
      <c r="S120" s="4"/>
      <c r="T120" s="4">
        <v>2880</v>
      </c>
      <c r="U120" s="4"/>
      <c r="V120" s="12">
        <f>IF(T$12=0,0,T120/T$12)</f>
        <v>0.16333938294010888</v>
      </c>
      <c r="W120" s="4"/>
      <c r="X120" s="4">
        <f>+P120-T120</f>
        <v>-1779.55</v>
      </c>
      <c r="Y120" s="4"/>
      <c r="Z120" s="12">
        <f>IF(T120=0,0,X120/T120)</f>
        <v>-0.6178993055555555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2" customFormat="1" ht="15.75" thickBot="1" x14ac:dyDescent="0.3">
      <c r="A122" s="10"/>
      <c r="B122" s="26" t="s">
        <v>4</v>
      </c>
      <c r="C122" s="26"/>
      <c r="D122" s="33">
        <f>+D118-D120</f>
        <v>-111369.17</v>
      </c>
      <c r="E122" s="13"/>
      <c r="F122" s="31">
        <f>IF(D$12=0,0,D122/D$12)</f>
        <v>-20.092075685466561</v>
      </c>
      <c r="G122" s="13"/>
      <c r="H122" s="33">
        <f>+H118-H120</f>
        <v>-143609.65604667948</v>
      </c>
      <c r="I122" s="13"/>
      <c r="J122" s="31">
        <f>IF(H$12=0,0,H122/H$12)</f>
        <v>-10.840919155029779</v>
      </c>
      <c r="K122" s="16"/>
      <c r="L122" s="33">
        <f>D122-H122</f>
        <v>32240.486046679478</v>
      </c>
      <c r="M122" s="16"/>
      <c r="N122" s="31">
        <f>IF(H122=0,0,L122/H122)</f>
        <v>-0.22450082351147682</v>
      </c>
      <c r="O122" s="25"/>
      <c r="P122" s="33">
        <f>+P118-P120</f>
        <v>-270959.96000000002</v>
      </c>
      <c r="Q122" s="13"/>
      <c r="R122" s="31">
        <f>IF(P$12=0,0,P122/P$12)</f>
        <v>-41.571984626832482</v>
      </c>
      <c r="S122" s="13"/>
      <c r="T122" s="33">
        <f>+T118-T120</f>
        <v>-291373.46962907049</v>
      </c>
      <c r="U122" s="13"/>
      <c r="V122" s="31">
        <f>IF(T$12=0,0,T122/T$12)</f>
        <v>-16.525264838309351</v>
      </c>
      <c r="W122" s="16"/>
      <c r="X122" s="33">
        <f>P122-T122</f>
        <v>20413.509629070468</v>
      </c>
      <c r="Y122" s="16"/>
      <c r="Z122" s="31">
        <f>IF(T122=0,0,X122/T122)</f>
        <v>-7.0059603075934271E-2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2" customFormat="1" ht="15.75" thickBot="1" x14ac:dyDescent="0.3">
      <c r="A125" s="10"/>
      <c r="B125" s="26" t="s">
        <v>5</v>
      </c>
      <c r="C125" s="26"/>
      <c r="D125" s="32">
        <f>SUM(D122:D124)</f>
        <v>-111369.17</v>
      </c>
      <c r="E125" s="13"/>
      <c r="F125" s="35">
        <f>IF(D$12=0,0,D125/D$12)</f>
        <v>-20.092075685466561</v>
      </c>
      <c r="G125" s="13"/>
      <c r="H125" s="32">
        <f>SUM(H122:H124)</f>
        <v>-143609.65604667948</v>
      </c>
      <c r="I125" s="13"/>
      <c r="J125" s="35">
        <f>IF(H$12=0,0,H125/H$12)</f>
        <v>-10.840919155029779</v>
      </c>
      <c r="K125" s="16"/>
      <c r="L125" s="32">
        <f>+D125-H125</f>
        <v>32240.486046679478</v>
      </c>
      <c r="M125" s="16"/>
      <c r="N125" s="35">
        <f>IF(H125=0,0,L125/H125)</f>
        <v>-0.22450082351147682</v>
      </c>
      <c r="O125" s="25"/>
      <c r="P125" s="32">
        <f>SUM(P122:P124)</f>
        <v>-270959.96000000002</v>
      </c>
      <c r="Q125" s="13"/>
      <c r="R125" s="35">
        <f>IF(P$12=0,0,P125/P$12)</f>
        <v>-41.571984626832482</v>
      </c>
      <c r="S125" s="13"/>
      <c r="T125" s="32">
        <f>SUM(T122:T124)</f>
        <v>-291373.46962907049</v>
      </c>
      <c r="U125" s="13"/>
      <c r="V125" s="35">
        <f>IF(T$12=0,0,T125/T$12)</f>
        <v>-16.525264838309351</v>
      </c>
      <c r="W125" s="16"/>
      <c r="X125" s="32">
        <f>+P125-T125</f>
        <v>20413.509629070468</v>
      </c>
      <c r="Y125" s="16"/>
      <c r="Z125" s="35">
        <f>IF(T125=0,0,X125/T125)</f>
        <v>-7.0059603075934271E-2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59">
        <v>44113.68906542824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62" t="s">
        <v>314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63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301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4718.9399999999996</v>
      </c>
      <c r="E12" s="4"/>
      <c r="F12" s="12"/>
      <c r="G12" s="4"/>
      <c r="H12" s="4">
        <f>SUM(OSRRefH13x_0)</f>
        <v>8497</v>
      </c>
      <c r="I12" s="4"/>
      <c r="J12" s="12"/>
      <c r="K12" s="4"/>
      <c r="L12" s="4">
        <f t="shared" ref="L12:L17" si="0">+D12-H12</f>
        <v>-3778.0600000000004</v>
      </c>
      <c r="M12" s="4"/>
      <c r="N12" s="12">
        <f t="shared" ref="N12:N17" si="1">IF(H12=0,0,L12/H12)</f>
        <v>-0.44463457690949754</v>
      </c>
      <c r="O12" s="10"/>
      <c r="P12" s="4">
        <f>SUM(OSRRefP13x_0)</f>
        <v>5693.8499999999995</v>
      </c>
      <c r="Q12" s="4"/>
      <c r="R12" s="12"/>
      <c r="S12" s="4"/>
      <c r="T12" s="4">
        <f>SUM(OSRRefT13x_0)</f>
        <v>12832</v>
      </c>
      <c r="U12" s="4"/>
      <c r="V12" s="12"/>
      <c r="W12" s="4"/>
      <c r="X12" s="4">
        <f t="shared" ref="X12:X17" si="2">+P12-T12</f>
        <v>-7138.1500000000005</v>
      </c>
      <c r="Y12" s="4"/>
      <c r="Z12" s="12">
        <f t="shared" ref="Z12:Z17" si="3">IF(T12=0,0,X12/T12)</f>
        <v>-0.5562772755610973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3"/>
      <c r="G13" s="2"/>
      <c r="H13" s="2">
        <v>2643</v>
      </c>
      <c r="I13" s="2"/>
      <c r="J13" s="23"/>
      <c r="K13" s="2"/>
      <c r="L13" s="2">
        <f t="shared" si="0"/>
        <v>-2643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3991</v>
      </c>
      <c r="U13" s="2"/>
      <c r="V13" s="23"/>
      <c r="W13" s="2"/>
      <c r="X13" s="2">
        <f t="shared" si="2"/>
        <v>-3991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--2510.72</f>
        <v>2510.7199999999998</v>
      </c>
      <c r="E14" s="2"/>
      <c r="F14" s="23"/>
      <c r="G14" s="2"/>
      <c r="H14" s="2"/>
      <c r="I14" s="2"/>
      <c r="J14" s="23"/>
      <c r="K14" s="2"/>
      <c r="L14" s="2">
        <f t="shared" si="0"/>
        <v>2510.7199999999998</v>
      </c>
      <c r="M14" s="2"/>
      <c r="N14" s="23">
        <f t="shared" si="1"/>
        <v>0</v>
      </c>
      <c r="O14" s="11"/>
      <c r="P14" s="2">
        <f>--2510.72</f>
        <v>2510.7199999999998</v>
      </c>
      <c r="Q14" s="2"/>
      <c r="R14" s="23"/>
      <c r="S14" s="2"/>
      <c r="T14" s="2"/>
      <c r="U14" s="2"/>
      <c r="V14" s="23"/>
      <c r="W14" s="2"/>
      <c r="X14" s="2">
        <f t="shared" si="2"/>
        <v>2510.7199999999998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"4058", " - ", "TAXABLE SALES-FOOD")</f>
        <v xml:space="preserve">          4058 - TAXABLE SALES-FOOD</v>
      </c>
      <c r="C15" s="11"/>
      <c r="D15" s="2">
        <f t="shared" ref="D15:D16" si="4">0</f>
        <v>0</v>
      </c>
      <c r="E15" s="2"/>
      <c r="F15" s="23"/>
      <c r="G15" s="2"/>
      <c r="H15" s="2"/>
      <c r="I15" s="2"/>
      <c r="J15" s="23"/>
      <c r="K15" s="2"/>
      <c r="L15" s="2">
        <f t="shared" si="0"/>
        <v>0</v>
      </c>
      <c r="M15" s="2"/>
      <c r="N15" s="23">
        <f t="shared" si="1"/>
        <v>0</v>
      </c>
      <c r="O15" s="11"/>
      <c r="P15" s="2">
        <f>--974.91</f>
        <v>974.91</v>
      </c>
      <c r="Q15" s="2"/>
      <c r="R15" s="23"/>
      <c r="S15" s="2"/>
      <c r="T15" s="2"/>
      <c r="U15" s="2"/>
      <c r="V15" s="23"/>
      <c r="W15" s="2"/>
      <c r="X15" s="2">
        <f t="shared" si="2"/>
        <v>974.91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23"/>
      <c r="G16" s="2"/>
      <c r="H16" s="2">
        <v>5854</v>
      </c>
      <c r="I16" s="2"/>
      <c r="J16" s="23"/>
      <c r="K16" s="2"/>
      <c r="L16" s="2">
        <f t="shared" si="0"/>
        <v>-5854</v>
      </c>
      <c r="M16" s="2"/>
      <c r="N16" s="23">
        <f t="shared" si="1"/>
        <v>-1</v>
      </c>
      <c r="O16" s="11"/>
      <c r="P16" s="2">
        <f>0</f>
        <v>0</v>
      </c>
      <c r="Q16" s="2"/>
      <c r="R16" s="23"/>
      <c r="S16" s="2"/>
      <c r="T16" s="2">
        <v>8841</v>
      </c>
      <c r="U16" s="2"/>
      <c r="V16" s="23"/>
      <c r="W16" s="2"/>
      <c r="X16" s="2">
        <f t="shared" si="2"/>
        <v>-8841</v>
      </c>
      <c r="Y16" s="2"/>
      <c r="Z16" s="23">
        <f t="shared" si="3"/>
        <v>-1</v>
      </c>
    </row>
    <row r="17" spans="1:26" s="24" customFormat="1" hidden="1" outlineLevel="1" x14ac:dyDescent="0.25">
      <c r="A17" s="51"/>
      <c r="B17" s="11" t="str">
        <f>CONCATENATE("          ", "4151", " - ", "NON-TAXABLE SALES-FOOD")</f>
        <v xml:space="preserve">          4151 - NON-TAXABLE SALES-FOOD</v>
      </c>
      <c r="C17" s="11"/>
      <c r="D17" s="2">
        <f>--2208.22</f>
        <v>2208.2199999999998</v>
      </c>
      <c r="E17" s="2"/>
      <c r="F17" s="23"/>
      <c r="G17" s="2"/>
      <c r="H17" s="2"/>
      <c r="I17" s="2"/>
      <c r="J17" s="23"/>
      <c r="K17" s="2"/>
      <c r="L17" s="2">
        <f t="shared" si="0"/>
        <v>2208.2199999999998</v>
      </c>
      <c r="M17" s="2"/>
      <c r="N17" s="23">
        <f t="shared" si="1"/>
        <v>0</v>
      </c>
      <c r="O17" s="11"/>
      <c r="P17" s="2">
        <f>--2208.22</f>
        <v>2208.2199999999998</v>
      </c>
      <c r="Q17" s="2"/>
      <c r="R17" s="23"/>
      <c r="S17" s="2"/>
      <c r="T17" s="2"/>
      <c r="U17" s="2"/>
      <c r="V17" s="23"/>
      <c r="W17" s="2"/>
      <c r="X17" s="2">
        <f t="shared" si="2"/>
        <v>2208.2199999999998</v>
      </c>
      <c r="Y17" s="2"/>
      <c r="Z17" s="23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2" customFormat="1" collapsed="1" x14ac:dyDescent="0.25">
      <c r="A19" s="10"/>
      <c r="B19" s="25" t="s">
        <v>8</v>
      </c>
      <c r="C19" s="10"/>
      <c r="D19" s="4">
        <f>SUM(OSRRefD16x_0)</f>
        <v>4245.9399999999996</v>
      </c>
      <c r="E19" s="4"/>
      <c r="F19" s="12">
        <f t="shared" ref="F19:F22" si="5">IF(D$12=0,0,D19/D$12)</f>
        <v>0.89976562533111248</v>
      </c>
      <c r="G19" s="4"/>
      <c r="H19" s="4">
        <f>SUM(OSRRefH16x_0)</f>
        <v>3229</v>
      </c>
      <c r="I19" s="4"/>
      <c r="J19" s="12">
        <f t="shared" ref="J19:J22" si="6">IF(H$12=0,0,H19/H$12)</f>
        <v>0.3800164764034365</v>
      </c>
      <c r="K19" s="4"/>
      <c r="L19" s="4">
        <f t="shared" ref="L19:L22" si="7">+D19-H19</f>
        <v>1016.9399999999996</v>
      </c>
      <c r="M19" s="4"/>
      <c r="N19" s="12">
        <f t="shared" ref="N19:N22" si="8">IF(H19=0,0,L19/H19)</f>
        <v>0.31493960978631141</v>
      </c>
      <c r="O19" s="10"/>
      <c r="P19" s="4">
        <f>SUM(OSRRefP16x_0)</f>
        <v>4245.9399999999996</v>
      </c>
      <c r="Q19" s="4"/>
      <c r="R19" s="12">
        <f t="shared" ref="R19:R22" si="9">IF(P$12=0,0,P19/P$12)</f>
        <v>0.74570633227078342</v>
      </c>
      <c r="S19" s="4"/>
      <c r="T19" s="4">
        <f>SUM(OSRRefT16x_0)</f>
        <v>4269</v>
      </c>
      <c r="U19" s="4"/>
      <c r="V19" s="12">
        <f t="shared" ref="V19:V22" si="10">IF(T$12=0,0,T19/T$12)</f>
        <v>0.33268391521197005</v>
      </c>
      <c r="W19" s="4"/>
      <c r="X19" s="4">
        <f t="shared" ref="X19:X22" si="11">+P19-T19</f>
        <v>-23.0600000000004</v>
      </c>
      <c r="Y19" s="4"/>
      <c r="Z19" s="12">
        <f t="shared" ref="Z19:Z22" si="12">IF(T19=0,0,X19/T19)</f>
        <v>-5.4017334270321854E-3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3">
        <f t="shared" si="5"/>
        <v>0</v>
      </c>
      <c r="G20" s="2"/>
      <c r="H20" s="2">
        <v>3229</v>
      </c>
      <c r="I20" s="2"/>
      <c r="J20" s="23">
        <f t="shared" si="6"/>
        <v>0.3800164764034365</v>
      </c>
      <c r="K20" s="2"/>
      <c r="L20" s="2">
        <f t="shared" si="7"/>
        <v>-3229</v>
      </c>
      <c r="M20" s="2"/>
      <c r="N20" s="23">
        <f t="shared" si="8"/>
        <v>-1</v>
      </c>
      <c r="O20" s="11"/>
      <c r="P20" s="2"/>
      <c r="Q20" s="2"/>
      <c r="R20" s="23">
        <f t="shared" si="9"/>
        <v>0</v>
      </c>
      <c r="S20" s="2"/>
      <c r="T20" s="2">
        <v>4269</v>
      </c>
      <c r="U20" s="2"/>
      <c r="V20" s="23">
        <f t="shared" si="10"/>
        <v>0.33268391521197005</v>
      </c>
      <c r="W20" s="2"/>
      <c r="X20" s="2">
        <f t="shared" si="11"/>
        <v>-4269</v>
      </c>
      <c r="Y20" s="2"/>
      <c r="Z20" s="23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4200.9399999999996</v>
      </c>
      <c r="E21" s="2"/>
      <c r="F21" s="23">
        <f t="shared" si="5"/>
        <v>0.8902295854577511</v>
      </c>
      <c r="G21" s="2"/>
      <c r="H21" s="2"/>
      <c r="I21" s="2"/>
      <c r="J21" s="23">
        <f t="shared" si="6"/>
        <v>0</v>
      </c>
      <c r="K21" s="2"/>
      <c r="L21" s="2">
        <f t="shared" si="7"/>
        <v>4200.9399999999996</v>
      </c>
      <c r="M21" s="2"/>
      <c r="N21" s="23">
        <f t="shared" si="8"/>
        <v>0</v>
      </c>
      <c r="O21" s="11"/>
      <c r="P21" s="2">
        <v>4200.9399999999996</v>
      </c>
      <c r="Q21" s="2"/>
      <c r="R21" s="23">
        <f t="shared" si="9"/>
        <v>0.73780306822273156</v>
      </c>
      <c r="S21" s="2"/>
      <c r="T21" s="2"/>
      <c r="U21" s="2"/>
      <c r="V21" s="23">
        <f t="shared" si="10"/>
        <v>0</v>
      </c>
      <c r="W21" s="2"/>
      <c r="X21" s="2">
        <f t="shared" si="11"/>
        <v>4200.9399999999996</v>
      </c>
      <c r="Y21" s="2"/>
      <c r="Z21" s="23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>
        <v>45</v>
      </c>
      <c r="E22" s="2"/>
      <c r="F22" s="23">
        <f t="shared" si="5"/>
        <v>9.5360398733613915E-3</v>
      </c>
      <c r="G22" s="2"/>
      <c r="H22" s="2"/>
      <c r="I22" s="2"/>
      <c r="J22" s="23">
        <f t="shared" si="6"/>
        <v>0</v>
      </c>
      <c r="K22" s="2"/>
      <c r="L22" s="2">
        <f t="shared" si="7"/>
        <v>45</v>
      </c>
      <c r="M22" s="2"/>
      <c r="N22" s="23">
        <f t="shared" si="8"/>
        <v>0</v>
      </c>
      <c r="O22" s="11"/>
      <c r="P22" s="2">
        <v>45</v>
      </c>
      <c r="Q22" s="2"/>
      <c r="R22" s="23">
        <f t="shared" si="9"/>
        <v>7.9032640480518456E-3</v>
      </c>
      <c r="S22" s="2"/>
      <c r="T22" s="2"/>
      <c r="U22" s="2"/>
      <c r="V22" s="23">
        <f t="shared" si="10"/>
        <v>0</v>
      </c>
      <c r="W22" s="2"/>
      <c r="X22" s="2">
        <f t="shared" si="11"/>
        <v>45</v>
      </c>
      <c r="Y22" s="2"/>
      <c r="Z22" s="23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10"/>
      <c r="B24" s="26" t="s">
        <v>6</v>
      </c>
      <c r="C24" s="26"/>
      <c r="D24" s="21">
        <f>D12-D19</f>
        <v>473</v>
      </c>
      <c r="E24" s="13"/>
      <c r="F24" s="20">
        <f>IF(D$12=0,0,D24/D$12)</f>
        <v>0.10023437466888752</v>
      </c>
      <c r="G24" s="13"/>
      <c r="H24" s="21">
        <f>H12-H19</f>
        <v>5268</v>
      </c>
      <c r="I24" s="13"/>
      <c r="J24" s="20">
        <f>IF(H$12=0,0,H24/H$12)</f>
        <v>0.6199835235965635</v>
      </c>
      <c r="K24" s="16"/>
      <c r="L24" s="21">
        <f>+D24-H24</f>
        <v>-4795</v>
      </c>
      <c r="M24" s="16"/>
      <c r="N24" s="20">
        <f>IF(H24=0,0,L24/H24)</f>
        <v>-0.91021260440394836</v>
      </c>
      <c r="O24" s="25"/>
      <c r="P24" s="21">
        <f>P12-P19</f>
        <v>1447.9099999999999</v>
      </c>
      <c r="Q24" s="13"/>
      <c r="R24" s="20">
        <f>IF(P$12=0,0,P24/P$12)</f>
        <v>0.25429366772921663</v>
      </c>
      <c r="S24" s="13"/>
      <c r="T24" s="21">
        <f>T12-T19</f>
        <v>8563</v>
      </c>
      <c r="U24" s="13"/>
      <c r="V24" s="20">
        <f>IF(T$12=0,0,T24/T$12)</f>
        <v>0.66731608478802995</v>
      </c>
      <c r="W24" s="16"/>
      <c r="X24" s="21">
        <f>+P24-T24</f>
        <v>-7115.09</v>
      </c>
      <c r="Y24" s="16"/>
      <c r="Z24" s="20">
        <f>IF(T24=0,0,X24/T24)</f>
        <v>-0.83091089571411891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2" customFormat="1" x14ac:dyDescent="0.25">
      <c r="A26" s="10"/>
      <c r="B26" s="25" t="s">
        <v>9</v>
      </c>
      <c r="C26" s="10"/>
      <c r="D26" s="19">
        <f>SUM(OSRRefD22x_0)</f>
        <v>84836.560000000012</v>
      </c>
      <c r="E26" s="19"/>
      <c r="F26" s="30">
        <f t="shared" ref="F26:F36" si="13">IF(D$12=0,0,D26/D$12)</f>
        <v>17.977884863973692</v>
      </c>
      <c r="G26" s="19"/>
      <c r="H26" s="19">
        <f>SUM(OSRRefH22x_0)</f>
        <v>106302.00526457948</v>
      </c>
      <c r="I26" s="19"/>
      <c r="J26" s="30">
        <f t="shared" ref="J26:J36" si="14">IF(H$12=0,0,H26/H$12)</f>
        <v>12.510533748920734</v>
      </c>
      <c r="K26" s="4"/>
      <c r="L26" s="19">
        <f t="shared" ref="L26:L36" si="15">+D26-H26</f>
        <v>-21465.445264579466</v>
      </c>
      <c r="M26" s="4"/>
      <c r="N26" s="30">
        <f t="shared" ref="N26:N36" si="16">IF(H26=0,0,L26/H26)</f>
        <v>-0.2019288837605013</v>
      </c>
      <c r="O26" s="10"/>
      <c r="P26" s="19">
        <f>SUM(OSRRefP22x_0)</f>
        <v>211961.71</v>
      </c>
      <c r="Q26" s="19"/>
      <c r="R26" s="30">
        <f t="shared" ref="R26:R36" si="17">IF(P$12=0,0,P26/P$12)</f>
        <v>37.226430271257584</v>
      </c>
      <c r="S26" s="19"/>
      <c r="T26" s="19">
        <f>SUM(OSRRefT22x_0)</f>
        <v>217237.83712197049</v>
      </c>
      <c r="U26" s="19"/>
      <c r="V26" s="30">
        <f t="shared" ref="V26:V36" si="18">IF(T$12=0,0,T26/T$12)</f>
        <v>16.929382568732112</v>
      </c>
      <c r="W26" s="4"/>
      <c r="X26" s="19">
        <f t="shared" ref="X26:X36" si="19">+P26-T26</f>
        <v>-5276.127121970494</v>
      </c>
      <c r="Y26" s="4"/>
      <c r="Z26" s="30">
        <f t="shared" ref="Z26:Z36" si="20">IF(T26=0,0,X26/T26)</f>
        <v>-2.428733038346426E-2</v>
      </c>
    </row>
    <row r="27" spans="1:26" s="29" customFormat="1" outlineLevel="1" collapsed="1" x14ac:dyDescent="0.25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21317.179999999997</v>
      </c>
      <c r="E27" s="1"/>
      <c r="F27" s="5">
        <f t="shared" si="13"/>
        <v>4.517366188169377</v>
      </c>
      <c r="G27" s="1"/>
      <c r="H27" s="1">
        <f>SUM(OSRRefH22_0x_0)</f>
        <v>13304.822238938466</v>
      </c>
      <c r="I27" s="1"/>
      <c r="J27" s="5">
        <f t="shared" si="14"/>
        <v>1.5658258489982895</v>
      </c>
      <c r="K27" s="1"/>
      <c r="L27" s="1">
        <f t="shared" si="15"/>
        <v>8012.3577610615303</v>
      </c>
      <c r="M27" s="1"/>
      <c r="N27" s="5">
        <f t="shared" si="16"/>
        <v>0.60221456680662888</v>
      </c>
      <c r="O27" s="14"/>
      <c r="P27" s="1">
        <f>SUM(OSRRefP22_0x_0)</f>
        <v>47290.65</v>
      </c>
      <c r="Q27" s="1"/>
      <c r="R27" s="5">
        <f t="shared" si="17"/>
        <v>8.3055665323111789</v>
      </c>
      <c r="S27" s="1"/>
      <c r="T27" s="1">
        <f>SUM(OSRRefT22_0x_0)</f>
        <v>28541.123647611548</v>
      </c>
      <c r="U27" s="1"/>
      <c r="V27" s="5">
        <f t="shared" si="18"/>
        <v>2.2242147480994037</v>
      </c>
      <c r="W27" s="1"/>
      <c r="X27" s="1">
        <f t="shared" si="19"/>
        <v>18749.526352388453</v>
      </c>
      <c r="Y27" s="1"/>
      <c r="Z27" s="5">
        <f t="shared" si="20"/>
        <v>0.65693021003248064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6">
        <v>2439.41</v>
      </c>
      <c r="E28" s="2"/>
      <c r="F28" s="7">
        <f t="shared" si="13"/>
        <v>0.51694024505503355</v>
      </c>
      <c r="G28" s="2"/>
      <c r="H28" s="6">
        <v>1605.125738169231</v>
      </c>
      <c r="I28" s="2"/>
      <c r="J28" s="7">
        <f t="shared" si="14"/>
        <v>0.18890499448855255</v>
      </c>
      <c r="K28" s="2"/>
      <c r="L28" s="6">
        <f t="shared" si="15"/>
        <v>834.28426183076886</v>
      </c>
      <c r="M28" s="2"/>
      <c r="N28" s="7">
        <f t="shared" si="16"/>
        <v>0.51976255940069471</v>
      </c>
      <c r="O28" s="11"/>
      <c r="P28" s="6">
        <v>5054.0600000000004</v>
      </c>
      <c r="Q28" s="2"/>
      <c r="R28" s="7">
        <f t="shared" si="17"/>
        <v>0.8876349043265982</v>
      </c>
      <c r="S28" s="2"/>
      <c r="T28" s="6">
        <v>3535.9212708807713</v>
      </c>
      <c r="U28" s="2"/>
      <c r="V28" s="7">
        <f t="shared" si="18"/>
        <v>0.27555496188285311</v>
      </c>
      <c r="W28" s="2"/>
      <c r="X28" s="6">
        <f t="shared" si="19"/>
        <v>1518.1387291192291</v>
      </c>
      <c r="Y28" s="2"/>
      <c r="Z28" s="7">
        <f t="shared" si="20"/>
        <v>0.42934743531240221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613.87</v>
      </c>
      <c r="E29" s="2"/>
      <c r="F29" s="7">
        <f t="shared" si="13"/>
        <v>0.13008641771245238</v>
      </c>
      <c r="G29" s="2"/>
      <c r="H29" s="6">
        <v>574.09034353846152</v>
      </c>
      <c r="I29" s="2"/>
      <c r="J29" s="7">
        <f t="shared" si="14"/>
        <v>6.7563886493875666E-2</v>
      </c>
      <c r="K29" s="2"/>
      <c r="L29" s="6">
        <f t="shared" si="15"/>
        <v>39.77965646153848</v>
      </c>
      <c r="M29" s="2"/>
      <c r="N29" s="7">
        <f t="shared" si="16"/>
        <v>6.9291631376958387E-2</v>
      </c>
      <c r="O29" s="11"/>
      <c r="P29" s="6">
        <v>1182.77</v>
      </c>
      <c r="Q29" s="2"/>
      <c r="R29" s="7">
        <f t="shared" si="17"/>
        <v>0.20772763595809515</v>
      </c>
      <c r="S29" s="2"/>
      <c r="T29" s="6">
        <v>1182.1152229615382</v>
      </c>
      <c r="U29" s="2"/>
      <c r="V29" s="7">
        <f t="shared" si="18"/>
        <v>9.2122445679670997E-2</v>
      </c>
      <c r="W29" s="2"/>
      <c r="X29" s="6">
        <f t="shared" si="19"/>
        <v>0.65477703846181612</v>
      </c>
      <c r="Y29" s="2"/>
      <c r="Z29" s="7">
        <f t="shared" si="20"/>
        <v>5.5390289012725131E-4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6">
        <v>10662.18</v>
      </c>
      <c r="E30" s="2"/>
      <c r="F30" s="7">
        <f t="shared" si="13"/>
        <v>2.2594438581545857</v>
      </c>
      <c r="G30" s="2"/>
      <c r="H30" s="6">
        <v>7261.1538461538503</v>
      </c>
      <c r="I30" s="2"/>
      <c r="J30" s="7">
        <f t="shared" si="14"/>
        <v>0.85455500131268103</v>
      </c>
      <c r="K30" s="2"/>
      <c r="L30" s="6">
        <f t="shared" si="15"/>
        <v>3401.02615384615</v>
      </c>
      <c r="M30" s="2"/>
      <c r="N30" s="7">
        <f t="shared" si="16"/>
        <v>0.46838646114730575</v>
      </c>
      <c r="O30" s="11"/>
      <c r="P30" s="6">
        <v>24280.7</v>
      </c>
      <c r="Q30" s="2"/>
      <c r="R30" s="7">
        <f t="shared" si="17"/>
        <v>4.2643729638118328</v>
      </c>
      <c r="S30" s="2"/>
      <c r="T30" s="6">
        <v>15298.846153846152</v>
      </c>
      <c r="U30" s="2"/>
      <c r="V30" s="7">
        <f t="shared" si="18"/>
        <v>1.1922417513907537</v>
      </c>
      <c r="W30" s="2"/>
      <c r="X30" s="6">
        <f t="shared" si="19"/>
        <v>8981.8538461538483</v>
      </c>
      <c r="Y30" s="2"/>
      <c r="Z30" s="7">
        <f t="shared" si="20"/>
        <v>0.58709354652185952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84.68</v>
      </c>
      <c r="E31" s="2"/>
      <c r="F31" s="7">
        <f t="shared" si="13"/>
        <v>1.7944707921694281E-2</v>
      </c>
      <c r="G31" s="2"/>
      <c r="H31" s="6">
        <v>61.359507999999998</v>
      </c>
      <c r="I31" s="2"/>
      <c r="J31" s="7">
        <f t="shared" si="14"/>
        <v>7.2213143462398488E-3</v>
      </c>
      <c r="K31" s="2"/>
      <c r="L31" s="6">
        <f t="shared" si="15"/>
        <v>23.320492000000009</v>
      </c>
      <c r="M31" s="2"/>
      <c r="N31" s="7">
        <f t="shared" si="16"/>
        <v>0.38006321693452966</v>
      </c>
      <c r="O31" s="11"/>
      <c r="P31" s="6">
        <v>166.63</v>
      </c>
      <c r="Q31" s="2"/>
      <c r="R31" s="7">
        <f t="shared" si="17"/>
        <v>2.9264908629486202E-2</v>
      </c>
      <c r="S31" s="2"/>
      <c r="T31" s="6">
        <v>131.417193</v>
      </c>
      <c r="U31" s="2"/>
      <c r="V31" s="7">
        <f t="shared" si="18"/>
        <v>1.0241364791147132E-2</v>
      </c>
      <c r="W31" s="2"/>
      <c r="X31" s="6">
        <f t="shared" si="19"/>
        <v>35.212806999999998</v>
      </c>
      <c r="Y31" s="2"/>
      <c r="Z31" s="7">
        <f t="shared" si="20"/>
        <v>0.26794672900980315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6">
        <v>2748.35</v>
      </c>
      <c r="E32" s="2"/>
      <c r="F32" s="7">
        <f t="shared" si="13"/>
        <v>0.58240833746561727</v>
      </c>
      <c r="G32" s="2"/>
      <c r="H32" s="6">
        <v>1386.1317261538459</v>
      </c>
      <c r="I32" s="2"/>
      <c r="J32" s="7">
        <f t="shared" si="14"/>
        <v>0.16313189668751865</v>
      </c>
      <c r="K32" s="2"/>
      <c r="L32" s="6">
        <f t="shared" si="15"/>
        <v>1362.218273846154</v>
      </c>
      <c r="M32" s="2"/>
      <c r="N32" s="7">
        <f t="shared" si="16"/>
        <v>0.98274806653906877</v>
      </c>
      <c r="O32" s="11"/>
      <c r="P32" s="6">
        <v>7397.15</v>
      </c>
      <c r="Q32" s="2"/>
      <c r="R32" s="7">
        <f t="shared" si="17"/>
        <v>1.2991473256232602</v>
      </c>
      <c r="S32" s="2"/>
      <c r="T32" s="6">
        <v>3118.796383846156</v>
      </c>
      <c r="U32" s="2"/>
      <c r="V32" s="7">
        <f t="shared" si="18"/>
        <v>0.24304834662142738</v>
      </c>
      <c r="W32" s="2"/>
      <c r="X32" s="6">
        <f t="shared" si="19"/>
        <v>4278.3536161538432</v>
      </c>
      <c r="Y32" s="2"/>
      <c r="Z32" s="7">
        <f t="shared" si="20"/>
        <v>1.3717963886047926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2561.8200000000002</v>
      </c>
      <c r="E34" s="2"/>
      <c r="F34" s="7">
        <f t="shared" si="13"/>
        <v>0.54288039263054844</v>
      </c>
      <c r="G34" s="2"/>
      <c r="H34" s="6">
        <v>1524.1520769230799</v>
      </c>
      <c r="I34" s="2"/>
      <c r="J34" s="7">
        <f t="shared" si="14"/>
        <v>0.17937531798553372</v>
      </c>
      <c r="K34" s="2"/>
      <c r="L34" s="6">
        <f t="shared" si="15"/>
        <v>1037.6679230769203</v>
      </c>
      <c r="M34" s="2"/>
      <c r="N34" s="7">
        <f t="shared" si="16"/>
        <v>0.68081652663672398</v>
      </c>
      <c r="O34" s="11"/>
      <c r="P34" s="6">
        <v>5122.1499999999996</v>
      </c>
      <c r="Q34" s="2"/>
      <c r="R34" s="7">
        <f t="shared" si="17"/>
        <v>0.89959342097175021</v>
      </c>
      <c r="S34" s="2"/>
      <c r="T34" s="6">
        <v>3429.3421730769296</v>
      </c>
      <c r="U34" s="2"/>
      <c r="V34" s="7">
        <f t="shared" si="18"/>
        <v>0.26724923418616969</v>
      </c>
      <c r="W34" s="2"/>
      <c r="X34" s="6">
        <f t="shared" si="19"/>
        <v>1692.80782692307</v>
      </c>
      <c r="Y34" s="2"/>
      <c r="Z34" s="7">
        <f t="shared" si="20"/>
        <v>0.49362464912745108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1497.32</v>
      </c>
      <c r="E35" s="2"/>
      <c r="F35" s="7">
        <f t="shared" si="13"/>
        <v>0.31730007162625506</v>
      </c>
      <c r="G35" s="2"/>
      <c r="H35" s="6">
        <v>542.80899999999997</v>
      </c>
      <c r="I35" s="2"/>
      <c r="J35" s="7">
        <f t="shared" si="14"/>
        <v>6.3882429092620915E-2</v>
      </c>
      <c r="K35" s="2"/>
      <c r="L35" s="6">
        <f t="shared" si="15"/>
        <v>954.51099999999997</v>
      </c>
      <c r="M35" s="2"/>
      <c r="N35" s="7">
        <f t="shared" si="16"/>
        <v>1.7584656849831157</v>
      </c>
      <c r="O35" s="11"/>
      <c r="P35" s="6">
        <v>3073.89</v>
      </c>
      <c r="Q35" s="2"/>
      <c r="R35" s="7">
        <f t="shared" si="17"/>
        <v>0.5398614294370242</v>
      </c>
      <c r="S35" s="2"/>
      <c r="T35" s="6">
        <v>1144.68525</v>
      </c>
      <c r="U35" s="2"/>
      <c r="V35" s="7">
        <f t="shared" si="18"/>
        <v>8.9205521352867828E-2</v>
      </c>
      <c r="W35" s="2"/>
      <c r="X35" s="6">
        <f t="shared" si="19"/>
        <v>1929.2047499999999</v>
      </c>
      <c r="Y35" s="2"/>
      <c r="Z35" s="7">
        <f t="shared" si="20"/>
        <v>1.6853582676984786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709.55</v>
      </c>
      <c r="E36" s="2"/>
      <c r="F36" s="7">
        <f t="shared" si="13"/>
        <v>0.15036215760319055</v>
      </c>
      <c r="G36" s="2"/>
      <c r="H36" s="6">
        <v>350</v>
      </c>
      <c r="I36" s="2"/>
      <c r="J36" s="7">
        <f t="shared" si="14"/>
        <v>4.1191008591267508E-2</v>
      </c>
      <c r="K36" s="2"/>
      <c r="L36" s="6">
        <f t="shared" si="15"/>
        <v>359.54999999999995</v>
      </c>
      <c r="M36" s="2"/>
      <c r="N36" s="7">
        <f t="shared" si="16"/>
        <v>1.0272857142857141</v>
      </c>
      <c r="O36" s="11"/>
      <c r="P36" s="6">
        <v>1013.3</v>
      </c>
      <c r="Q36" s="2"/>
      <c r="R36" s="7">
        <f t="shared" si="17"/>
        <v>0.17796394355313189</v>
      </c>
      <c r="S36" s="2"/>
      <c r="T36" s="6">
        <v>700</v>
      </c>
      <c r="U36" s="2"/>
      <c r="V36" s="7">
        <f t="shared" si="18"/>
        <v>5.4551122194513718E-2</v>
      </c>
      <c r="W36" s="2"/>
      <c r="X36" s="6">
        <f t="shared" si="19"/>
        <v>313.29999999999995</v>
      </c>
      <c r="Y36" s="2"/>
      <c r="Z36" s="7">
        <f t="shared" si="20"/>
        <v>0.44757142857142851</v>
      </c>
    </row>
    <row r="37" spans="1:26" s="29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30741.25</v>
      </c>
      <c r="E37" s="1"/>
      <c r="F37" s="5">
        <f t="shared" ref="F37:F47" si="21">IF(D$12=0,0,D37/D$12)</f>
        <v>6.5144396834882414</v>
      </c>
      <c r="G37" s="1"/>
      <c r="H37" s="1">
        <f>SUM(OSRRefH22_1x_0)</f>
        <v>21532.849692307693</v>
      </c>
      <c r="I37" s="1"/>
      <c r="J37" s="5">
        <f t="shared" ref="J37:J47" si="22">IF(H$12=0,0,H37/H$12)</f>
        <v>2.53417084762948</v>
      </c>
      <c r="K37" s="1"/>
      <c r="L37" s="1">
        <f t="shared" ref="L37:L47" si="23">+D37-H37</f>
        <v>9208.4003076923073</v>
      </c>
      <c r="M37" s="1"/>
      <c r="N37" s="5">
        <f t="shared" ref="N37:N47" si="24">IF(H37=0,0,L37/H37)</f>
        <v>0.42764429414941202</v>
      </c>
      <c r="O37" s="14"/>
      <c r="P37" s="1">
        <f>SUM(OSRRefP22_1x_0)</f>
        <v>67169.27</v>
      </c>
      <c r="Q37" s="1"/>
      <c r="R37" s="5">
        <f t="shared" ref="R37:R47" si="25">IF(P$12=0,0,P37/P$12)</f>
        <v>11.796810593886388</v>
      </c>
      <c r="S37" s="1"/>
      <c r="T37" s="1">
        <f>SUM(OSRRefT22_1x_0)</f>
        <v>45971.046807692292</v>
      </c>
      <c r="U37" s="1"/>
      <c r="V37" s="5">
        <f t="shared" ref="V37:V47" si="26">IF(T$12=0,0,T37/T$12)</f>
        <v>3.5825317025944741</v>
      </c>
      <c r="W37" s="1"/>
      <c r="X37" s="1">
        <f t="shared" ref="X37:X47" si="27">+P37-T37</f>
        <v>21198.223192307712</v>
      </c>
      <c r="Y37" s="1"/>
      <c r="Z37" s="5">
        <f t="shared" ref="Z37:Z47" si="28">IF(T37=0,0,X37/T37)</f>
        <v>0.46112117657413521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11069.28</v>
      </c>
      <c r="E38" s="2"/>
      <c r="F38" s="7">
        <f t="shared" si="21"/>
        <v>2.3457132322089285</v>
      </c>
      <c r="G38" s="2"/>
      <c r="H38" s="6">
        <v>9962.3076923076896</v>
      </c>
      <c r="I38" s="2"/>
      <c r="J38" s="7">
        <f t="shared" si="22"/>
        <v>1.1724500049791327</v>
      </c>
      <c r="K38" s="2"/>
      <c r="L38" s="6">
        <f t="shared" si="23"/>
        <v>1106.972307692311</v>
      </c>
      <c r="M38" s="2"/>
      <c r="N38" s="7">
        <f t="shared" si="24"/>
        <v>0.11111605281445484</v>
      </c>
      <c r="O38" s="11"/>
      <c r="P38" s="6">
        <v>22276.609999999997</v>
      </c>
      <c r="Q38" s="2"/>
      <c r="R38" s="7">
        <f t="shared" si="25"/>
        <v>3.9123984650104937</v>
      </c>
      <c r="S38" s="2"/>
      <c r="T38" s="6">
        <v>22415.19230769229</v>
      </c>
      <c r="U38" s="2"/>
      <c r="V38" s="7">
        <f t="shared" si="26"/>
        <v>1.746819849414923</v>
      </c>
      <c r="W38" s="2"/>
      <c r="X38" s="6">
        <f t="shared" si="27"/>
        <v>-138.5823076922934</v>
      </c>
      <c r="Y38" s="2"/>
      <c r="Z38" s="7">
        <f t="shared" si="28"/>
        <v>-6.1825170085529754E-3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14643.4</v>
      </c>
      <c r="E39" s="2"/>
      <c r="F39" s="7">
        <f t="shared" si="21"/>
        <v>3.1031121395906709</v>
      </c>
      <c r="G39" s="2"/>
      <c r="H39" s="6">
        <v>4543.7219999999998</v>
      </c>
      <c r="I39" s="2"/>
      <c r="J39" s="7">
        <f t="shared" si="22"/>
        <v>0.53474426268094621</v>
      </c>
      <c r="K39" s="2"/>
      <c r="L39" s="6">
        <f t="shared" si="23"/>
        <v>10099.678</v>
      </c>
      <c r="M39" s="2"/>
      <c r="N39" s="7">
        <f t="shared" si="24"/>
        <v>2.2227763934501277</v>
      </c>
      <c r="O39" s="11"/>
      <c r="P39" s="6">
        <v>35742.36</v>
      </c>
      <c r="Q39" s="2"/>
      <c r="R39" s="7">
        <f t="shared" si="25"/>
        <v>6.2773624173450306</v>
      </c>
      <c r="S39" s="2"/>
      <c r="T39" s="6">
        <v>10223.3745</v>
      </c>
      <c r="U39" s="2"/>
      <c r="V39" s="7">
        <f t="shared" si="26"/>
        <v>0.79670935941396503</v>
      </c>
      <c r="W39" s="2"/>
      <c r="X39" s="6">
        <f t="shared" si="27"/>
        <v>25518.985500000003</v>
      </c>
      <c r="Y39" s="2"/>
      <c r="Z39" s="7">
        <f t="shared" si="28"/>
        <v>2.4961411224835794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4818.47</v>
      </c>
      <c r="E41" s="2"/>
      <c r="F41" s="7">
        <f t="shared" si="21"/>
        <v>1.0210916010799036</v>
      </c>
      <c r="G41" s="2"/>
      <c r="H41" s="6">
        <v>2966.4</v>
      </c>
      <c r="I41" s="2"/>
      <c r="J41" s="7">
        <f t="shared" si="22"/>
        <v>0.34911145110038838</v>
      </c>
      <c r="K41" s="2"/>
      <c r="L41" s="6">
        <f t="shared" si="23"/>
        <v>1852.0700000000002</v>
      </c>
      <c r="M41" s="2"/>
      <c r="N41" s="7">
        <f t="shared" si="24"/>
        <v>0.62434937971952542</v>
      </c>
      <c r="O41" s="11"/>
      <c r="P41" s="6">
        <v>7590.2</v>
      </c>
      <c r="Q41" s="2"/>
      <c r="R41" s="7">
        <f t="shared" si="25"/>
        <v>1.3330523283894027</v>
      </c>
      <c r="S41" s="2"/>
      <c r="T41" s="6">
        <v>6674.4</v>
      </c>
      <c r="U41" s="2"/>
      <c r="V41" s="7">
        <f t="shared" si="26"/>
        <v>0.52013715710723185</v>
      </c>
      <c r="W41" s="2"/>
      <c r="X41" s="6">
        <f t="shared" si="27"/>
        <v>915.80000000000018</v>
      </c>
      <c r="Y41" s="2"/>
      <c r="Z41" s="7">
        <f t="shared" si="28"/>
        <v>0.13721083543090018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155.1</v>
      </c>
      <c r="E42" s="2"/>
      <c r="F42" s="7">
        <f t="shared" si="21"/>
        <v>3.2867550763518924E-2</v>
      </c>
      <c r="G42" s="2"/>
      <c r="H42" s="6">
        <v>2042.82</v>
      </c>
      <c r="I42" s="2"/>
      <c r="J42" s="7">
        <f t="shared" si="22"/>
        <v>0.24041661762975167</v>
      </c>
      <c r="K42" s="2"/>
      <c r="L42" s="6">
        <f t="shared" si="23"/>
        <v>-1887.72</v>
      </c>
      <c r="M42" s="2"/>
      <c r="N42" s="7">
        <f t="shared" si="24"/>
        <v>-0.92407554263224367</v>
      </c>
      <c r="O42" s="11"/>
      <c r="P42" s="6">
        <v>155.1</v>
      </c>
      <c r="Q42" s="2"/>
      <c r="R42" s="7">
        <f t="shared" si="25"/>
        <v>2.7239916752285362E-2</v>
      </c>
      <c r="S42" s="2"/>
      <c r="T42" s="6">
        <v>3707.34</v>
      </c>
      <c r="U42" s="2"/>
      <c r="V42" s="7">
        <f t="shared" si="26"/>
        <v>0.28891365336658353</v>
      </c>
      <c r="W42" s="2"/>
      <c r="X42" s="6">
        <f t="shared" si="27"/>
        <v>-3552.2400000000002</v>
      </c>
      <c r="Y42" s="2"/>
      <c r="Z42" s="7">
        <f t="shared" si="28"/>
        <v>-0.95816407451164454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55</v>
      </c>
      <c r="E44" s="2"/>
      <c r="F44" s="7">
        <f t="shared" si="21"/>
        <v>1.1655159845219478E-2</v>
      </c>
      <c r="G44" s="2"/>
      <c r="H44" s="6">
        <v>1513.2</v>
      </c>
      <c r="I44" s="2"/>
      <c r="J44" s="7">
        <f t="shared" si="22"/>
        <v>0.17808638342944569</v>
      </c>
      <c r="K44" s="2"/>
      <c r="L44" s="6">
        <f t="shared" si="23"/>
        <v>-1458.2</v>
      </c>
      <c r="M44" s="2"/>
      <c r="N44" s="7">
        <f t="shared" si="24"/>
        <v>-0.96365318530266986</v>
      </c>
      <c r="O44" s="11"/>
      <c r="P44" s="6">
        <v>1405</v>
      </c>
      <c r="Q44" s="2"/>
      <c r="R44" s="7">
        <f t="shared" si="25"/>
        <v>0.24675746638917431</v>
      </c>
      <c r="S44" s="2"/>
      <c r="T44" s="6">
        <v>2446.34</v>
      </c>
      <c r="U44" s="2"/>
      <c r="V44" s="7">
        <f t="shared" si="26"/>
        <v>0.19064370324189528</v>
      </c>
      <c r="W44" s="2"/>
      <c r="X44" s="6">
        <f t="shared" si="27"/>
        <v>-1041.3400000000001</v>
      </c>
      <c r="Y44" s="2"/>
      <c r="Z44" s="7">
        <f t="shared" si="28"/>
        <v>-0.42567263749110917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504.4</v>
      </c>
      <c r="I45" s="2"/>
      <c r="J45" s="7">
        <f t="shared" si="22"/>
        <v>5.9362127809815229E-2</v>
      </c>
      <c r="K45" s="2"/>
      <c r="L45" s="6">
        <f t="shared" si="23"/>
        <v>-504.4</v>
      </c>
      <c r="M45" s="2"/>
      <c r="N45" s="7">
        <f t="shared" si="24"/>
        <v>-1</v>
      </c>
      <c r="O45" s="11"/>
      <c r="P45" s="6"/>
      <c r="Q45" s="2"/>
      <c r="R45" s="7">
        <f t="shared" si="25"/>
        <v>0</v>
      </c>
      <c r="S45" s="2"/>
      <c r="T45" s="6">
        <v>504.4</v>
      </c>
      <c r="U45" s="2"/>
      <c r="V45" s="7">
        <f t="shared" si="26"/>
        <v>3.9307980049875312E-2</v>
      </c>
      <c r="W45" s="2"/>
      <c r="X45" s="6">
        <f t="shared" si="27"/>
        <v>-504.4</v>
      </c>
      <c r="Y45" s="2"/>
      <c r="Z45" s="7">
        <f t="shared" si="28"/>
        <v>-1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9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7" si="29">IF(D$12=0,0,D48/D$12)</f>
        <v>0</v>
      </c>
      <c r="G48" s="1"/>
      <c r="H48" s="1">
        <f>SUM(OSRRefH22_2x_0)</f>
        <v>360</v>
      </c>
      <c r="I48" s="1"/>
      <c r="J48" s="5">
        <f t="shared" ref="J48:J57" si="30">IF(H$12=0,0,H48/H$12)</f>
        <v>4.2367894551018005E-2</v>
      </c>
      <c r="K48" s="1"/>
      <c r="L48" s="1">
        <f t="shared" ref="L48:L57" si="31">+D48-H48</f>
        <v>-360</v>
      </c>
      <c r="M48" s="1"/>
      <c r="N48" s="5">
        <f t="shared" ref="N48:N57" si="32">IF(H48=0,0,L48/H48)</f>
        <v>-1</v>
      </c>
      <c r="O48" s="14"/>
      <c r="P48" s="1">
        <f>SUM(OSRRefP22_2x_0)</f>
        <v>45.97</v>
      </c>
      <c r="Q48" s="1"/>
      <c r="R48" s="5">
        <f t="shared" ref="R48:R57" si="33">IF(P$12=0,0,P48/P$12)</f>
        <v>8.0736232953098532E-3</v>
      </c>
      <c r="S48" s="1"/>
      <c r="T48" s="1">
        <f>SUM(OSRRefT22_2x_0)</f>
        <v>1900</v>
      </c>
      <c r="U48" s="1"/>
      <c r="V48" s="5">
        <f t="shared" ref="V48:V57" si="34">IF(T$12=0,0,T48/T$12)</f>
        <v>0.14806733167082295</v>
      </c>
      <c r="W48" s="1"/>
      <c r="X48" s="1">
        <f t="shared" ref="X48:X57" si="35">+P48-T48</f>
        <v>-1854.03</v>
      </c>
      <c r="Y48" s="1"/>
      <c r="Z48" s="5">
        <f t="shared" ref="Z48:Z57" si="36">IF(T48=0,0,X48/T48)</f>
        <v>-0.97580526315789473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360</v>
      </c>
      <c r="I49" s="2"/>
      <c r="J49" s="7">
        <f t="shared" si="30"/>
        <v>4.2367894551018005E-2</v>
      </c>
      <c r="K49" s="2"/>
      <c r="L49" s="6">
        <f t="shared" si="31"/>
        <v>-360</v>
      </c>
      <c r="M49" s="2"/>
      <c r="N49" s="7">
        <f t="shared" si="32"/>
        <v>-1</v>
      </c>
      <c r="O49" s="11"/>
      <c r="P49" s="6">
        <v>45.97</v>
      </c>
      <c r="Q49" s="2"/>
      <c r="R49" s="7">
        <f t="shared" si="33"/>
        <v>8.0736232953098532E-3</v>
      </c>
      <c r="S49" s="2"/>
      <c r="T49" s="6">
        <v>1900</v>
      </c>
      <c r="U49" s="2"/>
      <c r="V49" s="7">
        <f t="shared" si="34"/>
        <v>0.14806733167082295</v>
      </c>
      <c r="W49" s="2"/>
      <c r="X49" s="6">
        <f t="shared" si="35"/>
        <v>-1854.03</v>
      </c>
      <c r="Y49" s="2"/>
      <c r="Z49" s="7">
        <f t="shared" si="36"/>
        <v>-0.97580526315789473</v>
      </c>
    </row>
    <row r="50" spans="1:26" s="29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-0.14000000000000001</v>
      </c>
      <c r="E50" s="1"/>
      <c r="F50" s="5">
        <f t="shared" si="29"/>
        <v>-2.9667679606013222E-5</v>
      </c>
      <c r="G50" s="1"/>
      <c r="H50" s="1">
        <f>SUM(OSRRefH22_3x_0)</f>
        <v>15</v>
      </c>
      <c r="I50" s="1"/>
      <c r="J50" s="5">
        <f t="shared" si="30"/>
        <v>1.7653289396257503E-3</v>
      </c>
      <c r="K50" s="1"/>
      <c r="L50" s="1">
        <f t="shared" si="31"/>
        <v>-15.14</v>
      </c>
      <c r="M50" s="1"/>
      <c r="N50" s="5">
        <f t="shared" si="32"/>
        <v>-1.0093333333333334</v>
      </c>
      <c r="O50" s="14"/>
      <c r="P50" s="1">
        <f>SUM(OSRRefP22_3x_0)</f>
        <v>-0.14000000000000001</v>
      </c>
      <c r="Q50" s="1"/>
      <c r="R50" s="5">
        <f t="shared" si="33"/>
        <v>-2.4587932593939079E-5</v>
      </c>
      <c r="S50" s="1"/>
      <c r="T50" s="1">
        <f>SUM(OSRRefT22_3x_0)</f>
        <v>20</v>
      </c>
      <c r="U50" s="1"/>
      <c r="V50" s="5">
        <f t="shared" si="34"/>
        <v>1.5586034912718205E-3</v>
      </c>
      <c r="W50" s="1"/>
      <c r="X50" s="1">
        <f t="shared" si="35"/>
        <v>-20.14</v>
      </c>
      <c r="Y50" s="1"/>
      <c r="Z50" s="5">
        <f t="shared" si="36"/>
        <v>-1.0070000000000001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-0.14000000000000001</v>
      </c>
      <c r="E51" s="2"/>
      <c r="F51" s="7">
        <f t="shared" si="29"/>
        <v>-2.9667679606013222E-5</v>
      </c>
      <c r="G51" s="2"/>
      <c r="H51" s="6">
        <v>15</v>
      </c>
      <c r="I51" s="2"/>
      <c r="J51" s="7">
        <f t="shared" si="30"/>
        <v>1.7653289396257503E-3</v>
      </c>
      <c r="K51" s="2"/>
      <c r="L51" s="6">
        <f t="shared" si="31"/>
        <v>-15.14</v>
      </c>
      <c r="M51" s="2"/>
      <c r="N51" s="7">
        <f t="shared" si="32"/>
        <v>-1.0093333333333334</v>
      </c>
      <c r="O51" s="11"/>
      <c r="P51" s="6">
        <v>-0.14000000000000001</v>
      </c>
      <c r="Q51" s="2"/>
      <c r="R51" s="7">
        <f t="shared" si="33"/>
        <v>-2.4587932593939079E-5</v>
      </c>
      <c r="S51" s="2"/>
      <c r="T51" s="6">
        <v>20</v>
      </c>
      <c r="U51" s="2"/>
      <c r="V51" s="7">
        <f t="shared" si="34"/>
        <v>1.5586034912718205E-3</v>
      </c>
      <c r="W51" s="2"/>
      <c r="X51" s="6">
        <f t="shared" si="35"/>
        <v>-20.14</v>
      </c>
      <c r="Y51" s="2"/>
      <c r="Z51" s="7">
        <f t="shared" si="36"/>
        <v>-1.0070000000000001</v>
      </c>
    </row>
    <row r="52" spans="1:26" s="29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333.07</v>
      </c>
      <c r="E52" s="1"/>
      <c r="F52" s="5">
        <f t="shared" si="29"/>
        <v>7.0581528902677299E-2</v>
      </c>
      <c r="G52" s="1"/>
      <c r="H52" s="1">
        <f>SUM(OSRRefH22_4x_0)</f>
        <v>1616</v>
      </c>
      <c r="I52" s="1"/>
      <c r="J52" s="5">
        <f t="shared" si="30"/>
        <v>0.19018477109568083</v>
      </c>
      <c r="K52" s="1"/>
      <c r="L52" s="1">
        <f t="shared" si="31"/>
        <v>-1282.93</v>
      </c>
      <c r="M52" s="1"/>
      <c r="N52" s="5">
        <f t="shared" si="32"/>
        <v>-0.79389232673267329</v>
      </c>
      <c r="O52" s="14"/>
      <c r="P52" s="1">
        <f>SUM(OSRRefP22_4x_0)</f>
        <v>615.89</v>
      </c>
      <c r="Q52" s="1"/>
      <c r="R52" s="5">
        <f t="shared" si="33"/>
        <v>0.10816758432343671</v>
      </c>
      <c r="S52" s="1"/>
      <c r="T52" s="1">
        <f>SUM(OSRRefT22_4x_0)</f>
        <v>2468</v>
      </c>
      <c r="U52" s="1"/>
      <c r="V52" s="5">
        <f t="shared" si="34"/>
        <v>0.19233167082294264</v>
      </c>
      <c r="W52" s="1"/>
      <c r="X52" s="1">
        <f t="shared" si="35"/>
        <v>-1852.1100000000001</v>
      </c>
      <c r="Y52" s="1"/>
      <c r="Z52" s="5">
        <f t="shared" si="36"/>
        <v>-0.75044975688816862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333.07</v>
      </c>
      <c r="E53" s="2"/>
      <c r="F53" s="7">
        <f t="shared" si="29"/>
        <v>7.0581528902677299E-2</v>
      </c>
      <c r="G53" s="2"/>
      <c r="H53" s="6">
        <v>1616</v>
      </c>
      <c r="I53" s="2"/>
      <c r="J53" s="7">
        <f t="shared" si="30"/>
        <v>0.19018477109568083</v>
      </c>
      <c r="K53" s="2"/>
      <c r="L53" s="6">
        <f t="shared" si="31"/>
        <v>-1282.93</v>
      </c>
      <c r="M53" s="2"/>
      <c r="N53" s="7">
        <f t="shared" si="32"/>
        <v>-0.79389232673267329</v>
      </c>
      <c r="O53" s="11"/>
      <c r="P53" s="6">
        <v>615.89</v>
      </c>
      <c r="Q53" s="2"/>
      <c r="R53" s="7">
        <f t="shared" si="33"/>
        <v>0.10816758432343671</v>
      </c>
      <c r="S53" s="2"/>
      <c r="T53" s="6">
        <v>2468</v>
      </c>
      <c r="U53" s="2"/>
      <c r="V53" s="7">
        <f t="shared" si="34"/>
        <v>0.19233167082294264</v>
      </c>
      <c r="W53" s="2"/>
      <c r="X53" s="6">
        <f t="shared" si="35"/>
        <v>-1852.1100000000001</v>
      </c>
      <c r="Y53" s="2"/>
      <c r="Z53" s="7">
        <f t="shared" si="36"/>
        <v>-0.75044975688816862</v>
      </c>
    </row>
    <row r="54" spans="1:26" s="29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37690.479999999996</v>
      </c>
      <c r="E54" s="1"/>
      <c r="F54" s="5">
        <f t="shared" si="29"/>
        <v>7.9870648916917784</v>
      </c>
      <c r="G54" s="1"/>
      <c r="H54" s="1">
        <f>SUM(OSRRefH22_5x_0)</f>
        <v>38566</v>
      </c>
      <c r="I54" s="1"/>
      <c r="J54" s="5">
        <f t="shared" si="30"/>
        <v>4.5387783923737786</v>
      </c>
      <c r="K54" s="1"/>
      <c r="L54" s="1">
        <f t="shared" si="31"/>
        <v>-875.52000000000407</v>
      </c>
      <c r="M54" s="1"/>
      <c r="N54" s="5">
        <f t="shared" si="32"/>
        <v>-2.2701861743504748E-2</v>
      </c>
      <c r="O54" s="14"/>
      <c r="P54" s="1">
        <f>SUM(OSRRefP22_5x_0)</f>
        <v>75246.490000000005</v>
      </c>
      <c r="Q54" s="1"/>
      <c r="R54" s="5">
        <f t="shared" si="33"/>
        <v>13.215397314646507</v>
      </c>
      <c r="S54" s="1"/>
      <c r="T54" s="1">
        <f>SUM(OSRRefT22_5x_0)</f>
        <v>77132</v>
      </c>
      <c r="U54" s="1"/>
      <c r="V54" s="5">
        <f t="shared" si="34"/>
        <v>6.010910224438903</v>
      </c>
      <c r="W54" s="1"/>
      <c r="X54" s="1">
        <f t="shared" si="35"/>
        <v>-1885.5099999999948</v>
      </c>
      <c r="Y54" s="1"/>
      <c r="Z54" s="5">
        <f t="shared" si="36"/>
        <v>-2.4445236737022178E-2</v>
      </c>
    </row>
    <row r="55" spans="1:26" s="24" customFormat="1" hidden="1" outlineLevel="2" x14ac:dyDescent="0.25">
      <c r="A55" s="27"/>
      <c r="B55" s="11" t="str">
        <f>CONCATENATE("          ", "6321", " - ", "BUILDING DEPRECIATION")</f>
        <v xml:space="preserve">          6321 - BUILDING DEPRECIATION</v>
      </c>
      <c r="C55" s="11"/>
      <c r="D55" s="6">
        <v>23844.89</v>
      </c>
      <c r="E55" s="2"/>
      <c r="F55" s="7">
        <f t="shared" si="29"/>
        <v>5.0530182625759181</v>
      </c>
      <c r="G55" s="2"/>
      <c r="H55" s="6"/>
      <c r="I55" s="2"/>
      <c r="J55" s="7">
        <f t="shared" si="30"/>
        <v>0</v>
      </c>
      <c r="K55" s="2"/>
      <c r="L55" s="6">
        <f t="shared" si="31"/>
        <v>23844.89</v>
      </c>
      <c r="M55" s="2"/>
      <c r="N55" s="7">
        <f t="shared" si="32"/>
        <v>0</v>
      </c>
      <c r="O55" s="11"/>
      <c r="P55" s="6">
        <v>47689.78</v>
      </c>
      <c r="Q55" s="2"/>
      <c r="R55" s="7">
        <f t="shared" si="33"/>
        <v>8.3756649718555991</v>
      </c>
      <c r="S55" s="2"/>
      <c r="T55" s="6"/>
      <c r="U55" s="2"/>
      <c r="V55" s="7">
        <f t="shared" si="34"/>
        <v>0</v>
      </c>
      <c r="W55" s="2"/>
      <c r="X55" s="6">
        <f t="shared" si="35"/>
        <v>47689.78</v>
      </c>
      <c r="Y55" s="2"/>
      <c r="Z55" s="7">
        <f t="shared" si="36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13845.59</v>
      </c>
      <c r="E56" s="2"/>
      <c r="F56" s="7">
        <f t="shared" si="29"/>
        <v>2.9340466291158611</v>
      </c>
      <c r="G56" s="2"/>
      <c r="H56" s="6">
        <v>38016</v>
      </c>
      <c r="I56" s="2"/>
      <c r="J56" s="7">
        <f t="shared" si="30"/>
        <v>4.4740496645875014</v>
      </c>
      <c r="K56" s="2"/>
      <c r="L56" s="6">
        <f t="shared" si="31"/>
        <v>-24170.41</v>
      </c>
      <c r="M56" s="2"/>
      <c r="N56" s="7">
        <f t="shared" si="32"/>
        <v>-0.63579571759259257</v>
      </c>
      <c r="O56" s="11"/>
      <c r="P56" s="6">
        <v>27556.710000000003</v>
      </c>
      <c r="Q56" s="2"/>
      <c r="R56" s="7">
        <f t="shared" si="33"/>
        <v>4.8397323427909074</v>
      </c>
      <c r="S56" s="2"/>
      <c r="T56" s="6">
        <v>76032</v>
      </c>
      <c r="U56" s="2"/>
      <c r="V56" s="7">
        <f t="shared" si="34"/>
        <v>5.9251870324189531</v>
      </c>
      <c r="W56" s="2"/>
      <c r="X56" s="6">
        <f t="shared" si="35"/>
        <v>-48475.289999999994</v>
      </c>
      <c r="Y56" s="2"/>
      <c r="Z56" s="7">
        <f t="shared" si="36"/>
        <v>-0.63756431502525246</v>
      </c>
    </row>
    <row r="57" spans="1:26" s="24" customFormat="1" hidden="1" outlineLevel="2" x14ac:dyDescent="0.25">
      <c r="A57" s="27"/>
      <c r="B57" s="11" t="str">
        <f>CONCATENATE("          ", "6326", " - ", "VEHICLES DEPRECIATION EXPENSE")</f>
        <v xml:space="preserve">          6326 - VEHICLES DEPRECIATION EXPENSE</v>
      </c>
      <c r="C57" s="11"/>
      <c r="D57" s="6"/>
      <c r="E57" s="2"/>
      <c r="F57" s="7">
        <f t="shared" si="29"/>
        <v>0</v>
      </c>
      <c r="G57" s="2"/>
      <c r="H57" s="6">
        <v>550</v>
      </c>
      <c r="I57" s="2"/>
      <c r="J57" s="7">
        <f t="shared" si="30"/>
        <v>6.4728727786277515E-2</v>
      </c>
      <c r="K57" s="2"/>
      <c r="L57" s="6">
        <f t="shared" si="31"/>
        <v>-550</v>
      </c>
      <c r="M57" s="2"/>
      <c r="N57" s="7">
        <f t="shared" si="32"/>
        <v>-1</v>
      </c>
      <c r="O57" s="11"/>
      <c r="P57" s="6"/>
      <c r="Q57" s="2"/>
      <c r="R57" s="7">
        <f t="shared" si="33"/>
        <v>0</v>
      </c>
      <c r="S57" s="2"/>
      <c r="T57" s="6">
        <v>1100</v>
      </c>
      <c r="U57" s="2"/>
      <c r="V57" s="7">
        <f t="shared" si="34"/>
        <v>8.5723192019950128E-2</v>
      </c>
      <c r="W57" s="2"/>
      <c r="X57" s="6">
        <f t="shared" si="35"/>
        <v>-1100</v>
      </c>
      <c r="Y57" s="2"/>
      <c r="Z57" s="7">
        <f t="shared" si="36"/>
        <v>-1</v>
      </c>
    </row>
    <row r="58" spans="1:26" s="29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73" si="37">IF(D$12=0,0,D58/D$12)</f>
        <v>0</v>
      </c>
      <c r="G58" s="1"/>
      <c r="H58" s="1">
        <f>SUM(OSRRefH22_6x_0)</f>
        <v>0</v>
      </c>
      <c r="I58" s="1"/>
      <c r="J58" s="5">
        <f t="shared" ref="J58:J73" si="38">IF(H$12=0,0,H58/H$12)</f>
        <v>0</v>
      </c>
      <c r="K58" s="1"/>
      <c r="L58" s="1">
        <f t="shared" ref="L58:L73" si="39">+D58-H58</f>
        <v>0</v>
      </c>
      <c r="M58" s="1"/>
      <c r="N58" s="5">
        <f t="shared" ref="N58:N73" si="40">IF(H58=0,0,L58/H58)</f>
        <v>0</v>
      </c>
      <c r="O58" s="14"/>
      <c r="P58" s="1">
        <f>SUM(OSRRefP22_6x_0)</f>
        <v>0</v>
      </c>
      <c r="Q58" s="1"/>
      <c r="R58" s="5">
        <f t="shared" ref="R58:R73" si="41">IF(P$12=0,0,P58/P$12)</f>
        <v>0</v>
      </c>
      <c r="S58" s="1"/>
      <c r="T58" s="1">
        <f>SUM(OSRRefT22_6x_0)</f>
        <v>0</v>
      </c>
      <c r="U58" s="1"/>
      <c r="V58" s="5">
        <f t="shared" ref="V58:V73" si="42">IF(T$12=0,0,T58/T$12)</f>
        <v>0</v>
      </c>
      <c r="W58" s="1"/>
      <c r="X58" s="1">
        <f t="shared" ref="X58:X73" si="43">+P58-T58</f>
        <v>0</v>
      </c>
      <c r="Y58" s="1"/>
      <c r="Z58" s="5">
        <f t="shared" ref="Z58:Z73" si="44">IF(T58=0,0,X58/T58)</f>
        <v>0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7"/>
        <v>0</v>
      </c>
      <c r="G59" s="2"/>
      <c r="H59" s="6">
        <v>0</v>
      </c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0</v>
      </c>
      <c r="U59" s="2"/>
      <c r="V59" s="7">
        <f t="shared" si="42"/>
        <v>0</v>
      </c>
      <c r="W59" s="2"/>
      <c r="X59" s="6">
        <f t="shared" si="43"/>
        <v>0</v>
      </c>
      <c r="Y59" s="2"/>
      <c r="Z59" s="7">
        <f t="shared" si="44"/>
        <v>0</v>
      </c>
    </row>
    <row r="60" spans="1:26" s="29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163.80000000000001</v>
      </c>
      <c r="E60" s="1"/>
      <c r="F60" s="5">
        <f t="shared" si="37"/>
        <v>3.4711185139035469E-2</v>
      </c>
      <c r="G60" s="1"/>
      <c r="H60" s="1">
        <f>SUM(OSRRefH22_7x_0)</f>
        <v>354.33333333333297</v>
      </c>
      <c r="I60" s="1"/>
      <c r="J60" s="5">
        <f t="shared" si="38"/>
        <v>4.1700992507159348E-2</v>
      </c>
      <c r="K60" s="1"/>
      <c r="L60" s="1">
        <f t="shared" si="39"/>
        <v>-190.53333333333296</v>
      </c>
      <c r="M60" s="1"/>
      <c r="N60" s="5">
        <f t="shared" si="40"/>
        <v>-0.53772342427093078</v>
      </c>
      <c r="O60" s="14"/>
      <c r="P60" s="1">
        <f>SUM(OSRRefP22_7x_0)</f>
        <v>1032.75</v>
      </c>
      <c r="Q60" s="1"/>
      <c r="R60" s="5">
        <f t="shared" si="41"/>
        <v>0.18137990990278988</v>
      </c>
      <c r="S60" s="1"/>
      <c r="T60" s="1">
        <f>SUM(OSRRefT22_7x_0)</f>
        <v>708.66666666666595</v>
      </c>
      <c r="U60" s="1"/>
      <c r="V60" s="5">
        <f t="shared" si="42"/>
        <v>5.5226517040731449E-2</v>
      </c>
      <c r="W60" s="1"/>
      <c r="X60" s="1">
        <f t="shared" si="43"/>
        <v>324.08333333333405</v>
      </c>
      <c r="Y60" s="1"/>
      <c r="Z60" s="5">
        <f t="shared" si="44"/>
        <v>0.45731420507996384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163.80000000000001</v>
      </c>
      <c r="E61" s="2"/>
      <c r="F61" s="7">
        <f t="shared" si="37"/>
        <v>3.4711185139035469E-2</v>
      </c>
      <c r="G61" s="2"/>
      <c r="H61" s="6">
        <v>354.33333333333297</v>
      </c>
      <c r="I61" s="2"/>
      <c r="J61" s="7">
        <f t="shared" si="38"/>
        <v>4.1700992507159348E-2</v>
      </c>
      <c r="K61" s="2"/>
      <c r="L61" s="6">
        <f t="shared" si="39"/>
        <v>-190.53333333333296</v>
      </c>
      <c r="M61" s="2"/>
      <c r="N61" s="7">
        <f t="shared" si="40"/>
        <v>-0.53772342427093078</v>
      </c>
      <c r="O61" s="11"/>
      <c r="P61" s="6">
        <v>1032.75</v>
      </c>
      <c r="Q61" s="2"/>
      <c r="R61" s="7">
        <f t="shared" si="41"/>
        <v>0.18137990990278988</v>
      </c>
      <c r="S61" s="2"/>
      <c r="T61" s="6">
        <v>708.66666666666595</v>
      </c>
      <c r="U61" s="2"/>
      <c r="V61" s="7">
        <f t="shared" si="42"/>
        <v>5.5226517040731449E-2</v>
      </c>
      <c r="W61" s="2"/>
      <c r="X61" s="6">
        <f t="shared" si="43"/>
        <v>324.08333333333405</v>
      </c>
      <c r="Y61" s="2"/>
      <c r="Z61" s="7">
        <f t="shared" si="44"/>
        <v>0.45731420507996384</v>
      </c>
    </row>
    <row r="62" spans="1:26" s="29" customFormat="1" outlineLevel="1" collapsed="1" x14ac:dyDescent="0.25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-1107.27</v>
      </c>
      <c r="E62" s="1"/>
      <c r="F62" s="5">
        <f t="shared" si="37"/>
        <v>-0.23464379712393038</v>
      </c>
      <c r="G62" s="1"/>
      <c r="H62" s="1">
        <f>SUM(OSRRefH22_8x_0)</f>
        <v>0</v>
      </c>
      <c r="I62" s="1"/>
      <c r="J62" s="5">
        <f t="shared" si="38"/>
        <v>0</v>
      </c>
      <c r="K62" s="1"/>
      <c r="L62" s="1">
        <f t="shared" si="39"/>
        <v>-1107.27</v>
      </c>
      <c r="M62" s="1"/>
      <c r="N62" s="5">
        <f t="shared" si="40"/>
        <v>0</v>
      </c>
      <c r="O62" s="14"/>
      <c r="P62" s="1">
        <f>SUM(OSRRefP22_8x_0)</f>
        <v>3215.93</v>
      </c>
      <c r="Q62" s="1"/>
      <c r="R62" s="5">
        <f t="shared" si="41"/>
        <v>0.56480764333447497</v>
      </c>
      <c r="S62" s="1"/>
      <c r="T62" s="1">
        <f>SUM(OSRRefT22_8x_0)</f>
        <v>4355</v>
      </c>
      <c r="U62" s="1"/>
      <c r="V62" s="5">
        <f t="shared" si="42"/>
        <v>0.33938591022443892</v>
      </c>
      <c r="W62" s="1"/>
      <c r="X62" s="1">
        <f t="shared" si="43"/>
        <v>-1139.0700000000002</v>
      </c>
      <c r="Y62" s="1"/>
      <c r="Z62" s="5">
        <f t="shared" si="44"/>
        <v>-0.26155453501722165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-1107.27</v>
      </c>
      <c r="E63" s="2"/>
      <c r="F63" s="7">
        <f t="shared" si="37"/>
        <v>-0.23464379712393038</v>
      </c>
      <c r="G63" s="2"/>
      <c r="H63" s="6">
        <v>0</v>
      </c>
      <c r="I63" s="2"/>
      <c r="J63" s="7">
        <f t="shared" si="38"/>
        <v>0</v>
      </c>
      <c r="K63" s="2"/>
      <c r="L63" s="6">
        <f t="shared" si="39"/>
        <v>-1107.27</v>
      </c>
      <c r="M63" s="2"/>
      <c r="N63" s="7">
        <f t="shared" si="40"/>
        <v>0</v>
      </c>
      <c r="O63" s="11"/>
      <c r="P63" s="6">
        <v>3215.93</v>
      </c>
      <c r="Q63" s="2"/>
      <c r="R63" s="7">
        <f t="shared" si="41"/>
        <v>0.56480764333447497</v>
      </c>
      <c r="S63" s="2"/>
      <c r="T63" s="6">
        <v>4355</v>
      </c>
      <c r="U63" s="2"/>
      <c r="V63" s="7">
        <f t="shared" si="42"/>
        <v>0.33938591022443892</v>
      </c>
      <c r="W63" s="2"/>
      <c r="X63" s="6">
        <f t="shared" si="43"/>
        <v>-1139.0700000000002</v>
      </c>
      <c r="Y63" s="2"/>
      <c r="Z63" s="7">
        <f t="shared" si="44"/>
        <v>-0.26155453501722165</v>
      </c>
    </row>
    <row r="64" spans="1:26" s="29" customFormat="1" outlineLevel="1" collapsed="1" x14ac:dyDescent="0.25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SUM(OSRRefD22_9x_0)</f>
        <v>4240.13</v>
      </c>
      <c r="E64" s="1"/>
      <c r="F64" s="5">
        <f t="shared" si="37"/>
        <v>0.89853441662746303</v>
      </c>
      <c r="G64" s="1"/>
      <c r="H64" s="1">
        <f>SUM(OSRRefH22_9x_0)</f>
        <v>4565</v>
      </c>
      <c r="I64" s="1"/>
      <c r="J64" s="5">
        <f t="shared" si="38"/>
        <v>0.53724844062610333</v>
      </c>
      <c r="K64" s="1"/>
      <c r="L64" s="1">
        <f t="shared" si="39"/>
        <v>-324.86999999999989</v>
      </c>
      <c r="M64" s="1"/>
      <c r="N64" s="5">
        <f t="shared" si="40"/>
        <v>-7.1165388828039411E-2</v>
      </c>
      <c r="O64" s="14"/>
      <c r="P64" s="1">
        <f>SUM(OSRRefP22_9x_0)</f>
        <v>8480.26</v>
      </c>
      <c r="Q64" s="1"/>
      <c r="R64" s="5">
        <f t="shared" si="41"/>
        <v>1.48937186613627</v>
      </c>
      <c r="S64" s="1"/>
      <c r="T64" s="1">
        <f>SUM(OSRRefT22_9x_0)</f>
        <v>9130</v>
      </c>
      <c r="U64" s="1"/>
      <c r="V64" s="5">
        <f t="shared" si="42"/>
        <v>0.71150249376558605</v>
      </c>
      <c r="W64" s="1"/>
      <c r="X64" s="1">
        <f t="shared" si="43"/>
        <v>-649.73999999999978</v>
      </c>
      <c r="Y64" s="1"/>
      <c r="Z64" s="5">
        <f t="shared" si="44"/>
        <v>-7.1165388828039411E-2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4240.13</v>
      </c>
      <c r="E65" s="2"/>
      <c r="F65" s="7">
        <f t="shared" si="37"/>
        <v>0.89853441662746303</v>
      </c>
      <c r="G65" s="2"/>
      <c r="H65" s="6">
        <v>4565</v>
      </c>
      <c r="I65" s="2"/>
      <c r="J65" s="7">
        <f t="shared" si="38"/>
        <v>0.53724844062610333</v>
      </c>
      <c r="K65" s="2"/>
      <c r="L65" s="6">
        <f t="shared" si="39"/>
        <v>-324.86999999999989</v>
      </c>
      <c r="M65" s="2"/>
      <c r="N65" s="7">
        <f t="shared" si="40"/>
        <v>-7.1165388828039411E-2</v>
      </c>
      <c r="O65" s="11"/>
      <c r="P65" s="6">
        <v>8480.26</v>
      </c>
      <c r="Q65" s="2"/>
      <c r="R65" s="7">
        <f t="shared" si="41"/>
        <v>1.48937186613627</v>
      </c>
      <c r="S65" s="2"/>
      <c r="T65" s="6">
        <v>9130</v>
      </c>
      <c r="U65" s="2"/>
      <c r="V65" s="7">
        <f t="shared" si="42"/>
        <v>0.71150249376558605</v>
      </c>
      <c r="W65" s="2"/>
      <c r="X65" s="6">
        <f t="shared" si="43"/>
        <v>-649.73999999999978</v>
      </c>
      <c r="Y65" s="2"/>
      <c r="Z65" s="7">
        <f t="shared" si="44"/>
        <v>-7.1165388828039411E-2</v>
      </c>
    </row>
    <row r="66" spans="1:26" s="29" customFormat="1" outlineLevel="1" collapsed="1" x14ac:dyDescent="0.25">
      <c r="A66" s="28"/>
      <c r="B66" s="14" t="str">
        <f>CONCATENATE("     ","Interest                                          ")</f>
        <v xml:space="preserve">     Interest                                          </v>
      </c>
      <c r="C66" s="14"/>
      <c r="D66" s="1">
        <f>SUM(OSRRefD22_10x_0)</f>
        <v>7510</v>
      </c>
      <c r="E66" s="1"/>
      <c r="F66" s="5">
        <f t="shared" si="37"/>
        <v>1.5914590988654234</v>
      </c>
      <c r="G66" s="1"/>
      <c r="H66" s="1">
        <f>SUM(OSRRefH22_10x_0)</f>
        <v>7510</v>
      </c>
      <c r="I66" s="1"/>
      <c r="J66" s="5">
        <f t="shared" si="38"/>
        <v>0.88384135577262568</v>
      </c>
      <c r="K66" s="1"/>
      <c r="L66" s="1">
        <f t="shared" si="39"/>
        <v>0</v>
      </c>
      <c r="M66" s="1"/>
      <c r="N66" s="5">
        <f t="shared" si="40"/>
        <v>0</v>
      </c>
      <c r="O66" s="14"/>
      <c r="P66" s="1">
        <f>SUM(OSRRefP22_10x_0)</f>
        <v>15020</v>
      </c>
      <c r="Q66" s="1"/>
      <c r="R66" s="5">
        <f t="shared" si="41"/>
        <v>2.6379339111497497</v>
      </c>
      <c r="S66" s="1"/>
      <c r="T66" s="1">
        <f>SUM(OSRRefT22_10x_0)</f>
        <v>15020</v>
      </c>
      <c r="U66" s="1"/>
      <c r="V66" s="5">
        <f t="shared" si="42"/>
        <v>1.1705112219451372</v>
      </c>
      <c r="W66" s="1"/>
      <c r="X66" s="1">
        <f t="shared" si="43"/>
        <v>0</v>
      </c>
      <c r="Y66" s="1"/>
      <c r="Z66" s="5">
        <f t="shared" si="44"/>
        <v>0</v>
      </c>
    </row>
    <row r="67" spans="1:26" s="24" customFormat="1" hidden="1" outlineLevel="2" x14ac:dyDescent="0.25">
      <c r="A67" s="27"/>
      <c r="B67" s="11" t="str">
        <f>CONCATENATE("          ", "6401", " - ", "INTEREST EXPENSE")</f>
        <v xml:space="preserve">          6401 - INTEREST EXPENSE</v>
      </c>
      <c r="C67" s="11"/>
      <c r="D67" s="6">
        <v>7510</v>
      </c>
      <c r="E67" s="2"/>
      <c r="F67" s="7">
        <f t="shared" si="37"/>
        <v>1.5914590988654234</v>
      </c>
      <c r="G67" s="2"/>
      <c r="H67" s="6">
        <v>7510</v>
      </c>
      <c r="I67" s="2"/>
      <c r="J67" s="7">
        <f t="shared" si="38"/>
        <v>0.88384135577262568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>
        <v>15020</v>
      </c>
      <c r="Q67" s="2"/>
      <c r="R67" s="7">
        <f t="shared" si="41"/>
        <v>2.6379339111497497</v>
      </c>
      <c r="S67" s="2"/>
      <c r="T67" s="6">
        <v>15020</v>
      </c>
      <c r="U67" s="2"/>
      <c r="V67" s="7">
        <f t="shared" si="42"/>
        <v>1.1705112219451372</v>
      </c>
      <c r="W67" s="2"/>
      <c r="X67" s="6">
        <f t="shared" si="43"/>
        <v>0</v>
      </c>
      <c r="Y67" s="2"/>
      <c r="Z67" s="7">
        <f t="shared" si="44"/>
        <v>0</v>
      </c>
    </row>
    <row r="68" spans="1:26" s="29" customFormat="1" outlineLevel="1" collapsed="1" x14ac:dyDescent="0.25">
      <c r="A68" s="28"/>
      <c r="B68" s="14" t="str">
        <f>CONCATENATE("     ","Rent                                              ")</f>
        <v xml:space="preserve">     Rent                                              </v>
      </c>
      <c r="C68" s="14"/>
      <c r="D68" s="1">
        <f>SUM(OSRRefD22_11x_0)</f>
        <v>0</v>
      </c>
      <c r="E68" s="1"/>
      <c r="F68" s="5">
        <f t="shared" si="37"/>
        <v>0</v>
      </c>
      <c r="G68" s="1"/>
      <c r="H68" s="1">
        <f>SUM(OSRRefH22_11x_0)</f>
        <v>1943</v>
      </c>
      <c r="I68" s="1"/>
      <c r="J68" s="5">
        <f t="shared" si="38"/>
        <v>0.22866894197952217</v>
      </c>
      <c r="K68" s="1"/>
      <c r="L68" s="1">
        <f t="shared" si="39"/>
        <v>-1943</v>
      </c>
      <c r="M68" s="1"/>
      <c r="N68" s="5">
        <f t="shared" si="40"/>
        <v>-1</v>
      </c>
      <c r="O68" s="14"/>
      <c r="P68" s="1">
        <f>SUM(OSRRefP22_11x_0)</f>
        <v>0</v>
      </c>
      <c r="Q68" s="1"/>
      <c r="R68" s="5">
        <f t="shared" si="41"/>
        <v>0</v>
      </c>
      <c r="S68" s="1"/>
      <c r="T68" s="1">
        <f>SUM(OSRRefT22_11x_0)</f>
        <v>3886</v>
      </c>
      <c r="U68" s="1"/>
      <c r="V68" s="5">
        <f t="shared" si="42"/>
        <v>0.30283665835411472</v>
      </c>
      <c r="W68" s="1"/>
      <c r="X68" s="1">
        <f t="shared" si="43"/>
        <v>-3886</v>
      </c>
      <c r="Y68" s="1"/>
      <c r="Z68" s="5">
        <f t="shared" si="44"/>
        <v>-1</v>
      </c>
    </row>
    <row r="69" spans="1:26" s="24" customFormat="1" hidden="1" outlineLevel="2" x14ac:dyDescent="0.25">
      <c r="A69" s="27"/>
      <c r="B69" s="11" t="str">
        <f>CONCATENATE("          ", "6273", " - ", "RENT")</f>
        <v xml:space="preserve">          6273 - RENT</v>
      </c>
      <c r="C69" s="11"/>
      <c r="D69" s="6"/>
      <c r="E69" s="2"/>
      <c r="F69" s="7">
        <f t="shared" si="37"/>
        <v>0</v>
      </c>
      <c r="G69" s="2"/>
      <c r="H69" s="6">
        <v>1943</v>
      </c>
      <c r="I69" s="2"/>
      <c r="J69" s="7">
        <f t="shared" si="38"/>
        <v>0.22866894197952217</v>
      </c>
      <c r="K69" s="2"/>
      <c r="L69" s="6">
        <f t="shared" si="39"/>
        <v>-1943</v>
      </c>
      <c r="M69" s="2"/>
      <c r="N69" s="7">
        <f t="shared" si="40"/>
        <v>-1</v>
      </c>
      <c r="O69" s="11"/>
      <c r="P69" s="6"/>
      <c r="Q69" s="2"/>
      <c r="R69" s="7">
        <f t="shared" si="41"/>
        <v>0</v>
      </c>
      <c r="S69" s="2"/>
      <c r="T69" s="6">
        <v>3886</v>
      </c>
      <c r="U69" s="2"/>
      <c r="V69" s="7">
        <f t="shared" si="42"/>
        <v>0.30283665835411472</v>
      </c>
      <c r="W69" s="2"/>
      <c r="X69" s="6">
        <f t="shared" si="43"/>
        <v>-3886</v>
      </c>
      <c r="Y69" s="2"/>
      <c r="Z69" s="7">
        <f t="shared" si="44"/>
        <v>-1</v>
      </c>
    </row>
    <row r="70" spans="1:26" s="29" customFormat="1" outlineLevel="1" collapsed="1" x14ac:dyDescent="0.25">
      <c r="A70" s="28"/>
      <c r="B70" s="14" t="str">
        <f>CONCATENATE("     ","Repair and Maintenance                            ")</f>
        <v xml:space="preserve">     Repair and Maintenance                            </v>
      </c>
      <c r="C70" s="14"/>
      <c r="D70" s="1">
        <f>SUM(OSRRefD22_12x_0)</f>
        <v>4288.76</v>
      </c>
      <c r="E70" s="1"/>
      <c r="F70" s="5">
        <f t="shared" si="37"/>
        <v>0.90883969705060896</v>
      </c>
      <c r="G70" s="1"/>
      <c r="H70" s="1">
        <f>SUM(OSRRefH22_12x_0)</f>
        <v>661</v>
      </c>
      <c r="I70" s="1"/>
      <c r="J70" s="5">
        <f t="shared" si="38"/>
        <v>7.7792161939508067E-2</v>
      </c>
      <c r="K70" s="1"/>
      <c r="L70" s="1">
        <f t="shared" si="39"/>
        <v>3627.76</v>
      </c>
      <c r="M70" s="1"/>
      <c r="N70" s="5">
        <f t="shared" si="40"/>
        <v>5.488290468986385</v>
      </c>
      <c r="O70" s="14"/>
      <c r="P70" s="1">
        <f>SUM(OSRRefP22_12x_0)</f>
        <v>8399.17</v>
      </c>
      <c r="Q70" s="1"/>
      <c r="R70" s="5">
        <f t="shared" si="41"/>
        <v>1.4751301843216806</v>
      </c>
      <c r="S70" s="1"/>
      <c r="T70" s="1">
        <f>SUM(OSRRefT22_12x_0)</f>
        <v>1498</v>
      </c>
      <c r="U70" s="1"/>
      <c r="V70" s="5">
        <f t="shared" si="42"/>
        <v>0.11673940149625935</v>
      </c>
      <c r="W70" s="1"/>
      <c r="X70" s="1">
        <f t="shared" si="43"/>
        <v>6901.17</v>
      </c>
      <c r="Y70" s="1"/>
      <c r="Z70" s="5">
        <f t="shared" si="44"/>
        <v>4.606922563417891</v>
      </c>
    </row>
    <row r="71" spans="1:26" s="24" customFormat="1" hidden="1" outlineLevel="2" x14ac:dyDescent="0.25">
      <c r="A71" s="27"/>
      <c r="B71" s="11" t="str">
        <f>CONCATENATE("          ", "6372", " - ", "COMPUTER HARDWARE MAINTENANCE")</f>
        <v xml:space="preserve">          6372 - COMPUTER HARDWARE MAINTENANCE</v>
      </c>
      <c r="C71" s="11"/>
      <c r="D71" s="6"/>
      <c r="E71" s="2"/>
      <c r="F71" s="7">
        <f t="shared" si="37"/>
        <v>0</v>
      </c>
      <c r="G71" s="2"/>
      <c r="H71" s="6">
        <v>0</v>
      </c>
      <c r="I71" s="2"/>
      <c r="J71" s="7">
        <f t="shared" si="38"/>
        <v>0</v>
      </c>
      <c r="K71" s="2"/>
      <c r="L71" s="6">
        <f t="shared" si="39"/>
        <v>0</v>
      </c>
      <c r="M71" s="2"/>
      <c r="N71" s="7">
        <f t="shared" si="40"/>
        <v>0</v>
      </c>
      <c r="O71" s="11"/>
      <c r="P71" s="6"/>
      <c r="Q71" s="2"/>
      <c r="R71" s="7">
        <f t="shared" si="41"/>
        <v>0</v>
      </c>
      <c r="S71" s="2"/>
      <c r="T71" s="6">
        <v>0</v>
      </c>
      <c r="U71" s="2"/>
      <c r="V71" s="7">
        <f t="shared" si="42"/>
        <v>0</v>
      </c>
      <c r="W71" s="2"/>
      <c r="X71" s="6">
        <f t="shared" si="43"/>
        <v>0</v>
      </c>
      <c r="Y71" s="2"/>
      <c r="Z71" s="7">
        <f t="shared" si="44"/>
        <v>0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6">
        <v>1687.36</v>
      </c>
      <c r="E72" s="2"/>
      <c r="F72" s="7">
        <f t="shared" si="37"/>
        <v>0.35757182757144612</v>
      </c>
      <c r="G72" s="2"/>
      <c r="H72" s="6">
        <v>0</v>
      </c>
      <c r="I72" s="2"/>
      <c r="J72" s="7">
        <f t="shared" si="38"/>
        <v>0</v>
      </c>
      <c r="K72" s="2"/>
      <c r="L72" s="6">
        <f t="shared" si="39"/>
        <v>1687.36</v>
      </c>
      <c r="M72" s="2"/>
      <c r="N72" s="7">
        <f t="shared" si="40"/>
        <v>0</v>
      </c>
      <c r="O72" s="11"/>
      <c r="P72" s="6">
        <v>4040.95</v>
      </c>
      <c r="Q72" s="2"/>
      <c r="R72" s="7">
        <f t="shared" si="41"/>
        <v>0.70970433011055789</v>
      </c>
      <c r="S72" s="2"/>
      <c r="T72" s="6">
        <v>0</v>
      </c>
      <c r="U72" s="2"/>
      <c r="V72" s="7">
        <f t="shared" si="42"/>
        <v>0</v>
      </c>
      <c r="W72" s="2"/>
      <c r="X72" s="6">
        <f t="shared" si="43"/>
        <v>4040.95</v>
      </c>
      <c r="Y72" s="2"/>
      <c r="Z72" s="7">
        <f t="shared" si="44"/>
        <v>0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2601.4</v>
      </c>
      <c r="E73" s="2"/>
      <c r="F73" s="7">
        <f t="shared" si="37"/>
        <v>0.55126786947916273</v>
      </c>
      <c r="G73" s="2"/>
      <c r="H73" s="6">
        <v>661</v>
      </c>
      <c r="I73" s="2"/>
      <c r="J73" s="7">
        <f t="shared" si="38"/>
        <v>7.7792161939508067E-2</v>
      </c>
      <c r="K73" s="2"/>
      <c r="L73" s="6">
        <f t="shared" si="39"/>
        <v>1940.4</v>
      </c>
      <c r="M73" s="2"/>
      <c r="N73" s="7">
        <f t="shared" si="40"/>
        <v>2.9355521936459912</v>
      </c>
      <c r="O73" s="11"/>
      <c r="P73" s="6">
        <v>4358.22</v>
      </c>
      <c r="Q73" s="2"/>
      <c r="R73" s="7">
        <f t="shared" si="41"/>
        <v>0.76542585421112264</v>
      </c>
      <c r="S73" s="2"/>
      <c r="T73" s="6">
        <v>1498</v>
      </c>
      <c r="U73" s="2"/>
      <c r="V73" s="7">
        <f t="shared" si="42"/>
        <v>0.11673940149625935</v>
      </c>
      <c r="W73" s="2"/>
      <c r="X73" s="6">
        <f t="shared" si="43"/>
        <v>2860.2200000000003</v>
      </c>
      <c r="Y73" s="2"/>
      <c r="Z73" s="7">
        <f t="shared" si="44"/>
        <v>1.90935914552737</v>
      </c>
    </row>
    <row r="74" spans="1:26" s="29" customFormat="1" outlineLevel="1" collapsed="1" x14ac:dyDescent="0.25">
      <c r="A74" s="28"/>
      <c r="B74" s="14" t="str">
        <f>CONCATENATE("     ","Royalty &amp; Commissions                             ")</f>
        <v xml:space="preserve">     Royalty &amp; Commissions                             </v>
      </c>
      <c r="C74" s="14"/>
      <c r="D74" s="1">
        <f>SUM(OSRRefD22_13x_0)</f>
        <v>0</v>
      </c>
      <c r="E74" s="1"/>
      <c r="F74" s="5">
        <f t="shared" ref="F74:F76" si="45">IF(D$12=0,0,D74/D$12)</f>
        <v>0</v>
      </c>
      <c r="G74" s="1"/>
      <c r="H74" s="1">
        <f>SUM(OSRRefH22_13x_0)</f>
        <v>0</v>
      </c>
      <c r="I74" s="1"/>
      <c r="J74" s="5">
        <f t="shared" ref="J74:J76" si="46">IF(H$12=0,0,H74/H$12)</f>
        <v>0</v>
      </c>
      <c r="K74" s="1"/>
      <c r="L74" s="1">
        <f t="shared" ref="L74:L76" si="47">+D74-H74</f>
        <v>0</v>
      </c>
      <c r="M74" s="1"/>
      <c r="N74" s="5">
        <f t="shared" ref="N74:N76" si="48">IF(H74=0,0,L74/H74)</f>
        <v>0</v>
      </c>
      <c r="O74" s="14"/>
      <c r="P74" s="1">
        <f>SUM(OSRRefP22_13x_0)</f>
        <v>0</v>
      </c>
      <c r="Q74" s="1"/>
      <c r="R74" s="5">
        <f t="shared" ref="R74:R76" si="49">IF(P$12=0,0,P74/P$12)</f>
        <v>0</v>
      </c>
      <c r="S74" s="1"/>
      <c r="T74" s="1">
        <f>SUM(OSRRefT22_13x_0)</f>
        <v>0</v>
      </c>
      <c r="U74" s="1"/>
      <c r="V74" s="5">
        <f t="shared" ref="V74:V76" si="50">IF(T$12=0,0,T74/T$12)</f>
        <v>0</v>
      </c>
      <c r="W74" s="1"/>
      <c r="X74" s="1">
        <f t="shared" ref="X74:X76" si="51">+P74-T74</f>
        <v>0</v>
      </c>
      <c r="Y74" s="1"/>
      <c r="Z74" s="5">
        <f t="shared" ref="Z74:Z76" si="52">IF(T74=0,0,X74/T74)</f>
        <v>0</v>
      </c>
    </row>
    <row r="75" spans="1:26" s="24" customFormat="1" hidden="1" outlineLevel="2" x14ac:dyDescent="0.25">
      <c r="A75" s="27"/>
      <c r="B75" s="11" t="str">
        <f>CONCATENATE("          ", "6254", " - ", "ROYALTY &amp; COMMISSIONS")</f>
        <v xml:space="preserve">          6254 - ROYALTY &amp; COMMISSIONS</v>
      </c>
      <c r="C75" s="11"/>
      <c r="D75" s="6"/>
      <c r="E75" s="2"/>
      <c r="F75" s="7">
        <f t="shared" si="45"/>
        <v>0</v>
      </c>
      <c r="G75" s="2"/>
      <c r="H75" s="6">
        <v>0</v>
      </c>
      <c r="I75" s="2"/>
      <c r="J75" s="7">
        <f t="shared" si="46"/>
        <v>0</v>
      </c>
      <c r="K75" s="2"/>
      <c r="L75" s="6">
        <f t="shared" si="47"/>
        <v>0</v>
      </c>
      <c r="M75" s="2"/>
      <c r="N75" s="7">
        <f t="shared" si="48"/>
        <v>0</v>
      </c>
      <c r="O75" s="11"/>
      <c r="P75" s="6"/>
      <c r="Q75" s="2"/>
      <c r="R75" s="7">
        <f t="shared" si="49"/>
        <v>0</v>
      </c>
      <c r="S75" s="2"/>
      <c r="T75" s="6">
        <v>0</v>
      </c>
      <c r="U75" s="2"/>
      <c r="V75" s="7">
        <f t="shared" si="50"/>
        <v>0</v>
      </c>
      <c r="W75" s="2"/>
      <c r="X75" s="6">
        <f t="shared" si="51"/>
        <v>0</v>
      </c>
      <c r="Y75" s="2"/>
      <c r="Z75" s="7">
        <f t="shared" si="52"/>
        <v>0</v>
      </c>
    </row>
    <row r="76" spans="1:26" s="24" customFormat="1" hidden="1" outlineLevel="2" x14ac:dyDescent="0.25">
      <c r="A76" s="27"/>
      <c r="B76" s="11" t="str">
        <f>CONCATENATE("          ", "6259", " - ", "ROYALTY &amp; COMMISSIONS")</f>
        <v xml:space="preserve">          6259 - ROYALTY &amp; COMMISSIONS</v>
      </c>
      <c r="C76" s="11"/>
      <c r="D76" s="6"/>
      <c r="E76" s="2"/>
      <c r="F76" s="7">
        <f t="shared" si="45"/>
        <v>0</v>
      </c>
      <c r="G76" s="2"/>
      <c r="H76" s="6">
        <v>0</v>
      </c>
      <c r="I76" s="2"/>
      <c r="J76" s="7">
        <f t="shared" si="46"/>
        <v>0</v>
      </c>
      <c r="K76" s="2"/>
      <c r="L76" s="6">
        <f t="shared" si="47"/>
        <v>0</v>
      </c>
      <c r="M76" s="2"/>
      <c r="N76" s="7">
        <f t="shared" si="48"/>
        <v>0</v>
      </c>
      <c r="O76" s="11"/>
      <c r="P76" s="6"/>
      <c r="Q76" s="2"/>
      <c r="R76" s="7">
        <f t="shared" si="49"/>
        <v>0</v>
      </c>
      <c r="S76" s="2"/>
      <c r="T76" s="6">
        <v>0</v>
      </c>
      <c r="U76" s="2"/>
      <c r="V76" s="7">
        <f t="shared" si="50"/>
        <v>0</v>
      </c>
      <c r="W76" s="2"/>
      <c r="X76" s="6">
        <f t="shared" si="51"/>
        <v>0</v>
      </c>
      <c r="Y76" s="2"/>
      <c r="Z76" s="7">
        <f t="shared" si="52"/>
        <v>0</v>
      </c>
    </row>
    <row r="77" spans="1:26" s="29" customFormat="1" outlineLevel="1" collapsed="1" x14ac:dyDescent="0.25">
      <c r="A77" s="28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SUM(OSRRefD22_14x_0)</f>
        <v>4789.1799999999994</v>
      </c>
      <c r="E77" s="1"/>
      <c r="F77" s="5">
        <f t="shared" ref="F77:F82" si="53">IF(D$12=0,0,D77/D$12)</f>
        <v>1.0148846986823312</v>
      </c>
      <c r="G77" s="1"/>
      <c r="H77" s="1">
        <f>SUM(OSRRefH22_14x_0)</f>
        <v>5658</v>
      </c>
      <c r="I77" s="1"/>
      <c r="J77" s="5">
        <f t="shared" ref="J77:J82" si="54">IF(H$12=0,0,H77/H$12)</f>
        <v>0.66588207602683303</v>
      </c>
      <c r="K77" s="1"/>
      <c r="L77" s="1">
        <f t="shared" ref="L77:L82" si="55">+D77-H77</f>
        <v>-868.82000000000062</v>
      </c>
      <c r="M77" s="1"/>
      <c r="N77" s="5">
        <f t="shared" ref="N77:N82" si="56">IF(H77=0,0,L77/H77)</f>
        <v>-0.15355602686461658</v>
      </c>
      <c r="O77" s="14"/>
      <c r="P77" s="1">
        <f>SUM(OSRRefP22_14x_0)</f>
        <v>6396.38</v>
      </c>
      <c r="Q77" s="1"/>
      <c r="R77" s="5">
        <f t="shared" ref="R77:R82" si="57">IF(P$12=0,0,P77/P$12)</f>
        <v>1.1233840020372861</v>
      </c>
      <c r="S77" s="1"/>
      <c r="T77" s="1">
        <f>SUM(OSRRefT22_14x_0)</f>
        <v>11539</v>
      </c>
      <c r="U77" s="1"/>
      <c r="V77" s="5">
        <f t="shared" ref="V77:V82" si="58">IF(T$12=0,0,T77/T$12)</f>
        <v>0.89923628428927682</v>
      </c>
      <c r="W77" s="1"/>
      <c r="X77" s="1">
        <f t="shared" ref="X77:X82" si="59">+P77-T77</f>
        <v>-5142.62</v>
      </c>
      <c r="Y77" s="1"/>
      <c r="Z77" s="5">
        <f t="shared" ref="Z77:Z82" si="60">IF(T77=0,0,X77/T77)</f>
        <v>-0.44567293526302104</v>
      </c>
    </row>
    <row r="78" spans="1:26" s="24" customFormat="1" hidden="1" outlineLevel="2" x14ac:dyDescent="0.25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485.89</v>
      </c>
      <c r="E78" s="2"/>
      <c r="F78" s="7">
        <f t="shared" si="53"/>
        <v>0.10296592031261258</v>
      </c>
      <c r="G78" s="2"/>
      <c r="H78" s="6">
        <v>955</v>
      </c>
      <c r="I78" s="2"/>
      <c r="J78" s="7">
        <f t="shared" si="54"/>
        <v>0.11239260915617277</v>
      </c>
      <c r="K78" s="2"/>
      <c r="L78" s="6">
        <f t="shared" si="55"/>
        <v>-469.11</v>
      </c>
      <c r="M78" s="2"/>
      <c r="N78" s="7">
        <f t="shared" si="56"/>
        <v>-0.49121465968586386</v>
      </c>
      <c r="O78" s="11"/>
      <c r="P78" s="6">
        <v>772.51</v>
      </c>
      <c r="Q78" s="2"/>
      <c r="R78" s="7">
        <f t="shared" si="57"/>
        <v>0.13567445577245626</v>
      </c>
      <c r="S78" s="2"/>
      <c r="T78" s="6">
        <v>1910</v>
      </c>
      <c r="U78" s="2"/>
      <c r="V78" s="7">
        <f t="shared" si="58"/>
        <v>0.14884663341645885</v>
      </c>
      <c r="W78" s="2"/>
      <c r="X78" s="6">
        <f t="shared" si="59"/>
        <v>-1137.49</v>
      </c>
      <c r="Y78" s="2"/>
      <c r="Z78" s="7">
        <f t="shared" si="60"/>
        <v>-0.59554450261780101</v>
      </c>
    </row>
    <row r="79" spans="1:26" s="24" customFormat="1" hidden="1" outlineLevel="2" x14ac:dyDescent="0.25">
      <c r="A79" s="27"/>
      <c r="B79" s="11" t="str">
        <f>CONCATENATE("          ", "6283", " - ", "PLANT SERVICE")</f>
        <v xml:space="preserve">          6283 - PLANT SERVICE</v>
      </c>
      <c r="C79" s="11"/>
      <c r="D79" s="6"/>
      <c r="E79" s="2"/>
      <c r="F79" s="7">
        <f t="shared" si="53"/>
        <v>0</v>
      </c>
      <c r="G79" s="2"/>
      <c r="H79" s="6">
        <v>62</v>
      </c>
      <c r="I79" s="2"/>
      <c r="J79" s="7">
        <f t="shared" si="54"/>
        <v>7.2966929504531012E-3</v>
      </c>
      <c r="K79" s="2"/>
      <c r="L79" s="6">
        <f t="shared" si="55"/>
        <v>-62</v>
      </c>
      <c r="M79" s="2"/>
      <c r="N79" s="7">
        <f t="shared" si="56"/>
        <v>-1</v>
      </c>
      <c r="O79" s="11"/>
      <c r="P79" s="6"/>
      <c r="Q79" s="2"/>
      <c r="R79" s="7">
        <f t="shared" si="57"/>
        <v>0</v>
      </c>
      <c r="S79" s="2"/>
      <c r="T79" s="6">
        <v>124</v>
      </c>
      <c r="U79" s="2"/>
      <c r="V79" s="7">
        <f t="shared" si="58"/>
        <v>9.6633416458852869E-3</v>
      </c>
      <c r="W79" s="2"/>
      <c r="X79" s="6">
        <f t="shared" si="59"/>
        <v>-124</v>
      </c>
      <c r="Y79" s="2"/>
      <c r="Z79" s="7">
        <f t="shared" si="60"/>
        <v>-1</v>
      </c>
    </row>
    <row r="80" spans="1:26" s="24" customFormat="1" hidden="1" outlineLevel="2" x14ac:dyDescent="0.25">
      <c r="A80" s="27"/>
      <c r="B80" s="11" t="str">
        <f>CONCATENATE("          ", "6284", " - ", "TRASH REMOVAL EXPENSE")</f>
        <v xml:space="preserve">          6284 - TRASH REMOVAL EXPENSE</v>
      </c>
      <c r="C80" s="11"/>
      <c r="D80" s="6">
        <v>1000</v>
      </c>
      <c r="E80" s="2"/>
      <c r="F80" s="7">
        <f t="shared" si="53"/>
        <v>0.21191199718580869</v>
      </c>
      <c r="G80" s="2"/>
      <c r="H80" s="6">
        <v>1600</v>
      </c>
      <c r="I80" s="2"/>
      <c r="J80" s="7">
        <f t="shared" si="54"/>
        <v>0.18830175356008003</v>
      </c>
      <c r="K80" s="2"/>
      <c r="L80" s="6">
        <f t="shared" si="55"/>
        <v>-600</v>
      </c>
      <c r="M80" s="2"/>
      <c r="N80" s="7">
        <f t="shared" si="56"/>
        <v>-0.375</v>
      </c>
      <c r="O80" s="11"/>
      <c r="P80" s="6">
        <v>2000</v>
      </c>
      <c r="Q80" s="2"/>
      <c r="R80" s="7">
        <f t="shared" si="57"/>
        <v>0.3512561799134154</v>
      </c>
      <c r="S80" s="2"/>
      <c r="T80" s="6">
        <v>3423</v>
      </c>
      <c r="U80" s="2"/>
      <c r="V80" s="7">
        <f t="shared" si="58"/>
        <v>0.26675498753117205</v>
      </c>
      <c r="W80" s="2"/>
      <c r="X80" s="6">
        <f t="shared" si="59"/>
        <v>-1423</v>
      </c>
      <c r="Y80" s="2"/>
      <c r="Z80" s="7">
        <f t="shared" si="60"/>
        <v>-0.41571720712825005</v>
      </c>
    </row>
    <row r="81" spans="1:26" s="24" customFormat="1" hidden="1" outlineLevel="2" x14ac:dyDescent="0.25">
      <c r="A81" s="27"/>
      <c r="B81" s="11" t="str">
        <f>CONCATENATE("          ", "6285", " - ", "JANITORIAL SERVICES")</f>
        <v xml:space="preserve">          6285 - JANITORIAL SERVICES</v>
      </c>
      <c r="C81" s="11"/>
      <c r="D81" s="6">
        <v>3155.58</v>
      </c>
      <c r="E81" s="2"/>
      <c r="F81" s="7">
        <f t="shared" si="53"/>
        <v>0.66870526007959419</v>
      </c>
      <c r="G81" s="2"/>
      <c r="H81" s="6">
        <v>3041</v>
      </c>
      <c r="I81" s="2"/>
      <c r="J81" s="7">
        <f t="shared" si="54"/>
        <v>0.3578910203601271</v>
      </c>
      <c r="K81" s="2"/>
      <c r="L81" s="6">
        <f t="shared" si="55"/>
        <v>114.57999999999993</v>
      </c>
      <c r="M81" s="2"/>
      <c r="N81" s="7">
        <f t="shared" si="56"/>
        <v>3.7678395264715531E-2</v>
      </c>
      <c r="O81" s="11"/>
      <c r="P81" s="6">
        <v>3155.58</v>
      </c>
      <c r="Q81" s="2"/>
      <c r="R81" s="7">
        <f t="shared" si="57"/>
        <v>0.55420848810558765</v>
      </c>
      <c r="S81" s="2"/>
      <c r="T81" s="6">
        <v>6082</v>
      </c>
      <c r="U81" s="2"/>
      <c r="V81" s="7">
        <f t="shared" si="58"/>
        <v>0.47397132169576062</v>
      </c>
      <c r="W81" s="2"/>
      <c r="X81" s="6">
        <f t="shared" si="59"/>
        <v>-2926.42</v>
      </c>
      <c r="Y81" s="2"/>
      <c r="Z81" s="7">
        <f t="shared" si="60"/>
        <v>-0.48116080236764225</v>
      </c>
    </row>
    <row r="82" spans="1:26" s="24" customFormat="1" hidden="1" outlineLevel="2" x14ac:dyDescent="0.25">
      <c r="A82" s="27"/>
      <c r="B82" s="11" t="str">
        <f>CONCATENATE("          ", "6286", " - ", "LAUNDRY EXPENSE")</f>
        <v xml:space="preserve">          6286 - LAUNDRY EXPENSE</v>
      </c>
      <c r="C82" s="11"/>
      <c r="D82" s="6">
        <v>147.71</v>
      </c>
      <c r="E82" s="2"/>
      <c r="F82" s="7">
        <f t="shared" si="53"/>
        <v>3.1301521104315805E-2</v>
      </c>
      <c r="G82" s="2"/>
      <c r="H82" s="6">
        <v>0</v>
      </c>
      <c r="I82" s="2"/>
      <c r="J82" s="7">
        <f t="shared" si="54"/>
        <v>0</v>
      </c>
      <c r="K82" s="2"/>
      <c r="L82" s="6">
        <f t="shared" si="55"/>
        <v>147.71</v>
      </c>
      <c r="M82" s="2"/>
      <c r="N82" s="7">
        <f t="shared" si="56"/>
        <v>0</v>
      </c>
      <c r="O82" s="11"/>
      <c r="P82" s="6">
        <v>468.29</v>
      </c>
      <c r="Q82" s="2"/>
      <c r="R82" s="7">
        <f t="shared" si="57"/>
        <v>8.2244878245826644E-2</v>
      </c>
      <c r="S82" s="2"/>
      <c r="T82" s="6">
        <v>0</v>
      </c>
      <c r="U82" s="2"/>
      <c r="V82" s="7">
        <f t="shared" si="58"/>
        <v>0</v>
      </c>
      <c r="W82" s="2"/>
      <c r="X82" s="6">
        <f t="shared" si="59"/>
        <v>468.29</v>
      </c>
      <c r="Y82" s="2"/>
      <c r="Z82" s="7">
        <f t="shared" si="60"/>
        <v>0</v>
      </c>
    </row>
    <row r="83" spans="1:26" s="29" customFormat="1" outlineLevel="1" collapsed="1" x14ac:dyDescent="0.25">
      <c r="A83" s="28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SUM(OSRRefD22_15x_0)</f>
        <v>0</v>
      </c>
      <c r="E83" s="1"/>
      <c r="F83" s="5">
        <f t="shared" ref="F83:F96" si="61">IF(D$12=0,0,D83/D$12)</f>
        <v>0</v>
      </c>
      <c r="G83" s="1"/>
      <c r="H83" s="1">
        <f>SUM(OSRRefH22_15x_0)</f>
        <v>197</v>
      </c>
      <c r="I83" s="1"/>
      <c r="J83" s="5">
        <f t="shared" ref="J83:J96" si="62">IF(H$12=0,0,H83/H$12)</f>
        <v>2.3184653407084855E-2</v>
      </c>
      <c r="K83" s="1"/>
      <c r="L83" s="1">
        <f t="shared" ref="L83:L96" si="63">+D83-H83</f>
        <v>-197</v>
      </c>
      <c r="M83" s="1"/>
      <c r="N83" s="5">
        <f t="shared" ref="N83:N96" si="64">IF(H83=0,0,L83/H83)</f>
        <v>-1</v>
      </c>
      <c r="O83" s="14"/>
      <c r="P83" s="1">
        <f>SUM(OSRRefP22_15x_0)</f>
        <v>9.32</v>
      </c>
      <c r="Q83" s="1"/>
      <c r="R83" s="5">
        <f t="shared" ref="R83:R96" si="65">IF(P$12=0,0,P83/P$12)</f>
        <v>1.6368537983965157E-3</v>
      </c>
      <c r="S83" s="1"/>
      <c r="T83" s="1">
        <f>SUM(OSRRefT22_15x_0)</f>
        <v>394</v>
      </c>
      <c r="U83" s="1"/>
      <c r="V83" s="5">
        <f t="shared" ref="V83:V96" si="66">IF(T$12=0,0,T83/T$12)</f>
        <v>3.0704488778054862E-2</v>
      </c>
      <c r="W83" s="1"/>
      <c r="X83" s="1">
        <f t="shared" ref="X83:X96" si="67">+P83-T83</f>
        <v>-384.68</v>
      </c>
      <c r="Y83" s="1"/>
      <c r="Z83" s="5">
        <f t="shared" ref="Z83:Z96" si="68">IF(T83=0,0,X83/T83)</f>
        <v>-0.97634517766497464</v>
      </c>
    </row>
    <row r="84" spans="1:26" s="24" customFormat="1" hidden="1" outlineLevel="2" x14ac:dyDescent="0.25">
      <c r="A84" s="27"/>
      <c r="B84" s="11" t="str">
        <f>CONCATENATE("          ", "6275", " - ", "SUBSCRIPTIONS")</f>
        <v xml:space="preserve">          6275 - SUBSCRIPTIONS</v>
      </c>
      <c r="C84" s="11"/>
      <c r="D84" s="6"/>
      <c r="E84" s="2"/>
      <c r="F84" s="7">
        <f t="shared" si="61"/>
        <v>0</v>
      </c>
      <c r="G84" s="2"/>
      <c r="H84" s="6">
        <v>197</v>
      </c>
      <c r="I84" s="2"/>
      <c r="J84" s="7">
        <f t="shared" si="62"/>
        <v>2.3184653407084855E-2</v>
      </c>
      <c r="K84" s="2"/>
      <c r="L84" s="6">
        <f t="shared" si="63"/>
        <v>-197</v>
      </c>
      <c r="M84" s="2"/>
      <c r="N84" s="7">
        <f t="shared" si="64"/>
        <v>-1</v>
      </c>
      <c r="O84" s="11"/>
      <c r="P84" s="6">
        <v>9.32</v>
      </c>
      <c r="Q84" s="2"/>
      <c r="R84" s="7">
        <f t="shared" si="65"/>
        <v>1.6368537983965157E-3</v>
      </c>
      <c r="S84" s="2"/>
      <c r="T84" s="6">
        <v>394</v>
      </c>
      <c r="U84" s="2"/>
      <c r="V84" s="7">
        <f t="shared" si="66"/>
        <v>3.0704488778054862E-2</v>
      </c>
      <c r="W84" s="2"/>
      <c r="X84" s="6">
        <f t="shared" si="67"/>
        <v>-384.68</v>
      </c>
      <c r="Y84" s="2"/>
      <c r="Z84" s="7">
        <f t="shared" si="68"/>
        <v>-0.97634517766497464</v>
      </c>
    </row>
    <row r="85" spans="1:26" s="29" customFormat="1" outlineLevel="1" collapsed="1" x14ac:dyDescent="0.25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SUM(OSRRefD22_16x_0)</f>
        <v>-28658.839999999997</v>
      </c>
      <c r="E85" s="1"/>
      <c r="F85" s="5">
        <f t="shared" si="61"/>
        <v>-6.073152021428541</v>
      </c>
      <c r="G85" s="1"/>
      <c r="H85" s="1">
        <f>SUM(OSRRefH22_16x_0)</f>
        <v>6469</v>
      </c>
      <c r="I85" s="1"/>
      <c r="J85" s="5">
        <f t="shared" si="62"/>
        <v>0.76132752736259857</v>
      </c>
      <c r="K85" s="1"/>
      <c r="L85" s="1">
        <f t="shared" si="63"/>
        <v>-35127.839999999997</v>
      </c>
      <c r="M85" s="1"/>
      <c r="N85" s="5">
        <f t="shared" si="64"/>
        <v>-5.4301808625753587</v>
      </c>
      <c r="O85" s="14"/>
      <c r="P85" s="1">
        <f>SUM(OSRRefP22_16x_0)</f>
        <v>-28172.699999999997</v>
      </c>
      <c r="Q85" s="1"/>
      <c r="R85" s="5">
        <f t="shared" si="65"/>
        <v>-4.9479174899233387</v>
      </c>
      <c r="S85" s="1"/>
      <c r="T85" s="1">
        <f>SUM(OSRRefT22_16x_0)</f>
        <v>7483</v>
      </c>
      <c r="U85" s="1"/>
      <c r="V85" s="5">
        <f t="shared" si="66"/>
        <v>0.58315149625935159</v>
      </c>
      <c r="W85" s="1"/>
      <c r="X85" s="1">
        <f t="shared" si="67"/>
        <v>-35655.699999999997</v>
      </c>
      <c r="Y85" s="1"/>
      <c r="Z85" s="5">
        <f t="shared" si="68"/>
        <v>-4.7648937591874914</v>
      </c>
    </row>
    <row r="86" spans="1:26" s="24" customFormat="1" hidden="1" outlineLevel="2" x14ac:dyDescent="0.25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>
        <v>255.78</v>
      </c>
      <c r="E86" s="2"/>
      <c r="F86" s="7">
        <f t="shared" si="61"/>
        <v>5.4202850640186151E-2</v>
      </c>
      <c r="G86" s="2"/>
      <c r="H86" s="6">
        <v>0</v>
      </c>
      <c r="I86" s="2"/>
      <c r="J86" s="7">
        <f t="shared" si="62"/>
        <v>0</v>
      </c>
      <c r="K86" s="2"/>
      <c r="L86" s="6">
        <f t="shared" si="63"/>
        <v>255.78</v>
      </c>
      <c r="M86" s="2"/>
      <c r="N86" s="7">
        <f t="shared" si="64"/>
        <v>0</v>
      </c>
      <c r="O86" s="11"/>
      <c r="P86" s="6">
        <v>255.78</v>
      </c>
      <c r="Q86" s="2"/>
      <c r="R86" s="7">
        <f t="shared" si="65"/>
        <v>4.4922152849126692E-2</v>
      </c>
      <c r="S86" s="2"/>
      <c r="T86" s="6">
        <v>0</v>
      </c>
      <c r="U86" s="2"/>
      <c r="V86" s="7">
        <f t="shared" si="66"/>
        <v>0</v>
      </c>
      <c r="W86" s="2"/>
      <c r="X86" s="6">
        <f t="shared" si="67"/>
        <v>255.78</v>
      </c>
      <c r="Y86" s="2"/>
      <c r="Z86" s="7">
        <f t="shared" si="68"/>
        <v>0</v>
      </c>
    </row>
    <row r="87" spans="1:26" s="24" customFormat="1" hidden="1" outlineLevel="2" x14ac:dyDescent="0.25">
      <c r="A87" s="27"/>
      <c r="B87" s="11" t="str">
        <f>CONCATENATE("          ", "6235", " - ", "COVID-19 EXPENSES")</f>
        <v xml:space="preserve">          6235 - COVID-19 EXPENSES</v>
      </c>
      <c r="C87" s="11"/>
      <c r="D87" s="6">
        <v>286.14999999999998</v>
      </c>
      <c r="E87" s="2"/>
      <c r="F87" s="7">
        <f t="shared" si="61"/>
        <v>6.0638617994719153E-2</v>
      </c>
      <c r="G87" s="2"/>
      <c r="H87" s="6">
        <v>0</v>
      </c>
      <c r="I87" s="2"/>
      <c r="J87" s="7">
        <f t="shared" si="62"/>
        <v>0</v>
      </c>
      <c r="K87" s="2"/>
      <c r="L87" s="6">
        <f t="shared" si="63"/>
        <v>286.14999999999998</v>
      </c>
      <c r="M87" s="2"/>
      <c r="N87" s="7">
        <f t="shared" si="64"/>
        <v>0</v>
      </c>
      <c r="O87" s="11"/>
      <c r="P87" s="6">
        <v>821.97</v>
      </c>
      <c r="Q87" s="2"/>
      <c r="R87" s="7">
        <f t="shared" si="65"/>
        <v>0.14436102110171503</v>
      </c>
      <c r="S87" s="2"/>
      <c r="T87" s="6">
        <v>0</v>
      </c>
      <c r="U87" s="2"/>
      <c r="V87" s="7">
        <f t="shared" si="66"/>
        <v>0</v>
      </c>
      <c r="W87" s="2"/>
      <c r="X87" s="6">
        <f t="shared" si="67"/>
        <v>821.97</v>
      </c>
      <c r="Y87" s="2"/>
      <c r="Z87" s="7">
        <f t="shared" si="68"/>
        <v>0</v>
      </c>
    </row>
    <row r="88" spans="1:26" s="24" customFormat="1" hidden="1" outlineLevel="2" x14ac:dyDescent="0.25">
      <c r="A88" s="27"/>
      <c r="B88" s="11" t="str">
        <f>CONCATENATE("          ", "6237", " - ", "JANITORIAL SUPPLIES")</f>
        <v xml:space="preserve">          6237 - JANITORIAL SUPPLIES</v>
      </c>
      <c r="C88" s="11"/>
      <c r="D88" s="6"/>
      <c r="E88" s="2"/>
      <c r="F88" s="7">
        <f t="shared" si="61"/>
        <v>0</v>
      </c>
      <c r="G88" s="2"/>
      <c r="H88" s="6">
        <v>719</v>
      </c>
      <c r="I88" s="2"/>
      <c r="J88" s="7">
        <f t="shared" si="62"/>
        <v>8.4618100506060959E-2</v>
      </c>
      <c r="K88" s="2"/>
      <c r="L88" s="6">
        <f t="shared" si="63"/>
        <v>-719</v>
      </c>
      <c r="M88" s="2"/>
      <c r="N88" s="7">
        <f t="shared" si="64"/>
        <v>-1</v>
      </c>
      <c r="O88" s="11"/>
      <c r="P88" s="6"/>
      <c r="Q88" s="2"/>
      <c r="R88" s="7">
        <f t="shared" si="65"/>
        <v>0</v>
      </c>
      <c r="S88" s="2"/>
      <c r="T88" s="6">
        <v>1242</v>
      </c>
      <c r="U88" s="2"/>
      <c r="V88" s="7">
        <f t="shared" si="66"/>
        <v>9.6789276807980051E-2</v>
      </c>
      <c r="W88" s="2"/>
      <c r="X88" s="6">
        <f t="shared" si="67"/>
        <v>-1242</v>
      </c>
      <c r="Y88" s="2"/>
      <c r="Z88" s="7">
        <f t="shared" si="68"/>
        <v>-1</v>
      </c>
    </row>
    <row r="89" spans="1:26" s="24" customFormat="1" hidden="1" outlineLevel="2" x14ac:dyDescent="0.25">
      <c r="A89" s="27"/>
      <c r="B89" s="11" t="str">
        <f>CONCATENATE("          ", "6239", " - ", "KITCHEN SUPPLIES")</f>
        <v xml:space="preserve">          6239 - KITCHEN SUPPLIES</v>
      </c>
      <c r="C89" s="11"/>
      <c r="D89" s="6"/>
      <c r="E89" s="2"/>
      <c r="F89" s="7">
        <f t="shared" si="61"/>
        <v>0</v>
      </c>
      <c r="G89" s="2"/>
      <c r="H89" s="6">
        <v>73</v>
      </c>
      <c r="I89" s="2"/>
      <c r="J89" s="7">
        <f t="shared" si="62"/>
        <v>8.5912675061786507E-3</v>
      </c>
      <c r="K89" s="2"/>
      <c r="L89" s="6">
        <f t="shared" si="63"/>
        <v>-73</v>
      </c>
      <c r="M89" s="2"/>
      <c r="N89" s="7">
        <f t="shared" si="64"/>
        <v>-1</v>
      </c>
      <c r="O89" s="11"/>
      <c r="P89" s="6"/>
      <c r="Q89" s="2"/>
      <c r="R89" s="7">
        <f t="shared" si="65"/>
        <v>0</v>
      </c>
      <c r="S89" s="2"/>
      <c r="T89" s="6">
        <v>136</v>
      </c>
      <c r="U89" s="2"/>
      <c r="V89" s="7">
        <f t="shared" si="66"/>
        <v>1.059850374064838E-2</v>
      </c>
      <c r="W89" s="2"/>
      <c r="X89" s="6">
        <f t="shared" si="67"/>
        <v>-136</v>
      </c>
      <c r="Y89" s="2"/>
      <c r="Z89" s="7">
        <f t="shared" si="68"/>
        <v>-1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6">
        <v>-29200.769999999997</v>
      </c>
      <c r="E90" s="2"/>
      <c r="F90" s="7">
        <f t="shared" si="61"/>
        <v>-6.1879934900634463</v>
      </c>
      <c r="G90" s="2"/>
      <c r="H90" s="6">
        <v>4765</v>
      </c>
      <c r="I90" s="2"/>
      <c r="J90" s="7">
        <f t="shared" si="62"/>
        <v>0.56078615982111335</v>
      </c>
      <c r="K90" s="2"/>
      <c r="L90" s="6">
        <f t="shared" si="63"/>
        <v>-33965.769999999997</v>
      </c>
      <c r="M90" s="2"/>
      <c r="N90" s="7">
        <f t="shared" si="64"/>
        <v>-7.1281783840503667</v>
      </c>
      <c r="O90" s="11"/>
      <c r="P90" s="6">
        <v>-29250.449999999997</v>
      </c>
      <c r="Q90" s="2"/>
      <c r="R90" s="7">
        <f t="shared" si="65"/>
        <v>-5.1372006638741796</v>
      </c>
      <c r="S90" s="2"/>
      <c r="T90" s="6">
        <v>4834</v>
      </c>
      <c r="U90" s="2"/>
      <c r="V90" s="7">
        <f t="shared" si="66"/>
        <v>0.37671446384039903</v>
      </c>
      <c r="W90" s="2"/>
      <c r="X90" s="6">
        <f t="shared" si="67"/>
        <v>-34084.449999999997</v>
      </c>
      <c r="Y90" s="2"/>
      <c r="Z90" s="7">
        <f t="shared" si="68"/>
        <v>-7.0509826230864698</v>
      </c>
    </row>
    <row r="91" spans="1:26" s="24" customFormat="1" hidden="1" outlineLevel="2" x14ac:dyDescent="0.25">
      <c r="A91" s="27"/>
      <c r="B91" s="11" t="str">
        <f>CONCATENATE("          ", "6243", " - ", "PAPER SUPPLIES")</f>
        <v xml:space="preserve">          6243 - PAPER SUPPLIES</v>
      </c>
      <c r="C91" s="11"/>
      <c r="D91" s="6"/>
      <c r="E91" s="2"/>
      <c r="F91" s="7">
        <f t="shared" si="61"/>
        <v>0</v>
      </c>
      <c r="G91" s="2"/>
      <c r="H91" s="6">
        <v>501</v>
      </c>
      <c r="I91" s="2"/>
      <c r="J91" s="7">
        <f t="shared" si="62"/>
        <v>5.8961986583500062E-2</v>
      </c>
      <c r="K91" s="2"/>
      <c r="L91" s="6">
        <f t="shared" si="63"/>
        <v>-501</v>
      </c>
      <c r="M91" s="2"/>
      <c r="N91" s="7">
        <f t="shared" si="64"/>
        <v>-1</v>
      </c>
      <c r="O91" s="11"/>
      <c r="P91" s="6"/>
      <c r="Q91" s="2"/>
      <c r="R91" s="7">
        <f t="shared" si="65"/>
        <v>0</v>
      </c>
      <c r="S91" s="2"/>
      <c r="T91" s="6">
        <v>860</v>
      </c>
      <c r="U91" s="2"/>
      <c r="V91" s="7">
        <f t="shared" si="66"/>
        <v>6.7019950124688282E-2</v>
      </c>
      <c r="W91" s="2"/>
      <c r="X91" s="6">
        <f t="shared" si="67"/>
        <v>-860</v>
      </c>
      <c r="Y91" s="2"/>
      <c r="Z91" s="7">
        <f t="shared" si="68"/>
        <v>-1</v>
      </c>
    </row>
    <row r="92" spans="1:26" s="24" customFormat="1" hidden="1" outlineLevel="2" x14ac:dyDescent="0.25">
      <c r="A92" s="27"/>
      <c r="B92" s="11" t="str">
        <f>CONCATENATE("          ", "6244", " - ", "SAFETY SUPPLY EXPENSE")</f>
        <v xml:space="preserve">          6244 - SAFETY SUPPLY EXPENSE</v>
      </c>
      <c r="C92" s="11"/>
      <c r="D92" s="6"/>
      <c r="E92" s="2"/>
      <c r="F92" s="7">
        <f t="shared" si="61"/>
        <v>0</v>
      </c>
      <c r="G92" s="2"/>
      <c r="H92" s="6">
        <v>0</v>
      </c>
      <c r="I92" s="2"/>
      <c r="J92" s="7">
        <f t="shared" si="62"/>
        <v>0</v>
      </c>
      <c r="K92" s="2"/>
      <c r="L92" s="6">
        <f t="shared" si="63"/>
        <v>0</v>
      </c>
      <c r="M92" s="2"/>
      <c r="N92" s="7">
        <f t="shared" si="64"/>
        <v>0</v>
      </c>
      <c r="O92" s="11"/>
      <c r="P92" s="6"/>
      <c r="Q92" s="2"/>
      <c r="R92" s="7">
        <f t="shared" si="65"/>
        <v>0</v>
      </c>
      <c r="S92" s="2"/>
      <c r="T92" s="6">
        <v>0</v>
      </c>
      <c r="U92" s="2"/>
      <c r="V92" s="7">
        <f t="shared" si="66"/>
        <v>0</v>
      </c>
      <c r="W92" s="2"/>
      <c r="X92" s="6">
        <f t="shared" si="67"/>
        <v>0</v>
      </c>
      <c r="Y92" s="2"/>
      <c r="Z92" s="7">
        <f t="shared" si="68"/>
        <v>0</v>
      </c>
    </row>
    <row r="93" spans="1:26" s="24" customFormat="1" hidden="1" outlineLevel="2" x14ac:dyDescent="0.25">
      <c r="A93" s="27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1"/>
        <v>0</v>
      </c>
      <c r="G93" s="2"/>
      <c r="H93" s="6">
        <v>0</v>
      </c>
      <c r="I93" s="2"/>
      <c r="J93" s="7">
        <f t="shared" si="62"/>
        <v>0</v>
      </c>
      <c r="K93" s="2"/>
      <c r="L93" s="6">
        <f t="shared" si="63"/>
        <v>0</v>
      </c>
      <c r="M93" s="2"/>
      <c r="N93" s="7">
        <f t="shared" si="64"/>
        <v>0</v>
      </c>
      <c r="O93" s="11"/>
      <c r="P93" s="6"/>
      <c r="Q93" s="2"/>
      <c r="R93" s="7">
        <f t="shared" si="65"/>
        <v>0</v>
      </c>
      <c r="S93" s="2"/>
      <c r="T93" s="6">
        <v>0</v>
      </c>
      <c r="U93" s="2"/>
      <c r="V93" s="7">
        <f t="shared" si="66"/>
        <v>0</v>
      </c>
      <c r="W93" s="2"/>
      <c r="X93" s="6">
        <f t="shared" si="67"/>
        <v>0</v>
      </c>
      <c r="Y93" s="2"/>
      <c r="Z93" s="7">
        <f t="shared" si="68"/>
        <v>0</v>
      </c>
    </row>
    <row r="94" spans="1:26" s="24" customFormat="1" hidden="1" outlineLevel="2" x14ac:dyDescent="0.25">
      <c r="A94" s="27"/>
      <c r="B94" s="11" t="str">
        <f>CONCATENATE("          ", "6246", " - ", "REPLACEMENTS")</f>
        <v xml:space="preserve">          6246 - REPLACEMENTS</v>
      </c>
      <c r="C94" s="11"/>
      <c r="D94" s="6"/>
      <c r="E94" s="2"/>
      <c r="F94" s="7">
        <f t="shared" si="61"/>
        <v>0</v>
      </c>
      <c r="G94" s="2"/>
      <c r="H94" s="6">
        <v>0</v>
      </c>
      <c r="I94" s="2"/>
      <c r="J94" s="7">
        <f t="shared" si="62"/>
        <v>0</v>
      </c>
      <c r="K94" s="2"/>
      <c r="L94" s="6">
        <f t="shared" si="63"/>
        <v>0</v>
      </c>
      <c r="M94" s="2"/>
      <c r="N94" s="7">
        <f t="shared" si="64"/>
        <v>0</v>
      </c>
      <c r="O94" s="11"/>
      <c r="P94" s="6"/>
      <c r="Q94" s="2"/>
      <c r="R94" s="7">
        <f t="shared" si="65"/>
        <v>0</v>
      </c>
      <c r="S94" s="2"/>
      <c r="T94" s="6">
        <v>0</v>
      </c>
      <c r="U94" s="2"/>
      <c r="V94" s="7">
        <f t="shared" si="66"/>
        <v>0</v>
      </c>
      <c r="W94" s="2"/>
      <c r="X94" s="6">
        <f t="shared" si="67"/>
        <v>0</v>
      </c>
      <c r="Y94" s="2"/>
      <c r="Z94" s="7">
        <f t="shared" si="68"/>
        <v>0</v>
      </c>
    </row>
    <row r="95" spans="1:26" s="24" customFormat="1" hidden="1" outlineLevel="2" x14ac:dyDescent="0.25">
      <c r="A95" s="27"/>
      <c r="B95" s="11" t="str">
        <f>CONCATENATE("          ", "6247", " - ", "STORE SUPPLIES")</f>
        <v xml:space="preserve">          6247 - STORE SUPPLIES</v>
      </c>
      <c r="C95" s="11"/>
      <c r="D95" s="6"/>
      <c r="E95" s="2"/>
      <c r="F95" s="7">
        <f t="shared" si="61"/>
        <v>0</v>
      </c>
      <c r="G95" s="2"/>
      <c r="H95" s="6">
        <v>411</v>
      </c>
      <c r="I95" s="2"/>
      <c r="J95" s="7">
        <f t="shared" si="62"/>
        <v>4.8370012945745555E-2</v>
      </c>
      <c r="K95" s="2"/>
      <c r="L95" s="6">
        <f t="shared" si="63"/>
        <v>-411</v>
      </c>
      <c r="M95" s="2"/>
      <c r="N95" s="7">
        <f t="shared" si="64"/>
        <v>-1</v>
      </c>
      <c r="O95" s="11"/>
      <c r="P95" s="6"/>
      <c r="Q95" s="2"/>
      <c r="R95" s="7">
        <f t="shared" si="65"/>
        <v>0</v>
      </c>
      <c r="S95" s="2"/>
      <c r="T95" s="6">
        <v>411</v>
      </c>
      <c r="U95" s="2"/>
      <c r="V95" s="7">
        <f t="shared" si="66"/>
        <v>3.202930174563591E-2</v>
      </c>
      <c r="W95" s="2"/>
      <c r="X95" s="6">
        <f t="shared" si="67"/>
        <v>-411</v>
      </c>
      <c r="Y95" s="2"/>
      <c r="Z95" s="7">
        <f t="shared" si="68"/>
        <v>-1</v>
      </c>
    </row>
    <row r="96" spans="1:26" s="24" customFormat="1" hidden="1" outlineLevel="2" x14ac:dyDescent="0.25">
      <c r="A96" s="27"/>
      <c r="B96" s="11" t="str">
        <f>CONCATENATE("          ", "6248", " - ", "UNIFORMS")</f>
        <v xml:space="preserve">          6248 - UNIFORMS</v>
      </c>
      <c r="C96" s="11"/>
      <c r="D96" s="6"/>
      <c r="E96" s="2"/>
      <c r="F96" s="7">
        <f t="shared" si="61"/>
        <v>0</v>
      </c>
      <c r="G96" s="2"/>
      <c r="H96" s="6">
        <v>0</v>
      </c>
      <c r="I96" s="2"/>
      <c r="J96" s="7">
        <f t="shared" si="62"/>
        <v>0</v>
      </c>
      <c r="K96" s="2"/>
      <c r="L96" s="6">
        <f t="shared" si="63"/>
        <v>0</v>
      </c>
      <c r="M96" s="2"/>
      <c r="N96" s="7">
        <f t="shared" si="64"/>
        <v>0</v>
      </c>
      <c r="O96" s="11"/>
      <c r="P96" s="6"/>
      <c r="Q96" s="2"/>
      <c r="R96" s="7">
        <f t="shared" si="65"/>
        <v>0</v>
      </c>
      <c r="S96" s="2"/>
      <c r="T96" s="6">
        <v>0</v>
      </c>
      <c r="U96" s="2"/>
      <c r="V96" s="7">
        <f t="shared" si="66"/>
        <v>0</v>
      </c>
      <c r="W96" s="2"/>
      <c r="X96" s="6">
        <f t="shared" si="67"/>
        <v>0</v>
      </c>
      <c r="Y96" s="2"/>
      <c r="Z96" s="7">
        <f t="shared" si="68"/>
        <v>0</v>
      </c>
    </row>
    <row r="97" spans="1:26" s="29" customFormat="1" outlineLevel="1" collapsed="1" x14ac:dyDescent="0.25">
      <c r="A97" s="28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SUM(OSRRefD22_17x_0)</f>
        <v>1228.96</v>
      </c>
      <c r="E97" s="1"/>
      <c r="F97" s="5">
        <f t="shared" ref="F97:F99" si="69">IF(D$12=0,0,D97/D$12)</f>
        <v>0.26043136806147144</v>
      </c>
      <c r="G97" s="1"/>
      <c r="H97" s="1">
        <f>SUM(OSRRefH22_17x_0)</f>
        <v>250</v>
      </c>
      <c r="I97" s="1"/>
      <c r="J97" s="5">
        <f t="shared" ref="J97:J99" si="70">IF(H$12=0,0,H97/H$12)</f>
        <v>2.9422148993762505E-2</v>
      </c>
      <c r="K97" s="1"/>
      <c r="L97" s="1">
        <f t="shared" ref="L97:L99" si="71">+D97-H97</f>
        <v>978.96</v>
      </c>
      <c r="M97" s="1"/>
      <c r="N97" s="5">
        <f t="shared" ref="N97:N99" si="72">IF(H97=0,0,L97/H97)</f>
        <v>3.9158400000000002</v>
      </c>
      <c r="O97" s="14"/>
      <c r="P97" s="1">
        <f>SUM(OSRRefP22_17x_0)</f>
        <v>2432.7800000000002</v>
      </c>
      <c r="Q97" s="1"/>
      <c r="R97" s="5">
        <f t="shared" ref="R97:R99" si="73">IF(P$12=0,0,P97/P$12)</f>
        <v>0.42726450468487936</v>
      </c>
      <c r="S97" s="1"/>
      <c r="T97" s="1">
        <f>SUM(OSRRefT22_17x_0)</f>
        <v>592</v>
      </c>
      <c r="U97" s="1"/>
      <c r="V97" s="5">
        <f t="shared" ref="V97:V99" si="74">IF(T$12=0,0,T97/T$12)</f>
        <v>4.6134663341645885E-2</v>
      </c>
      <c r="W97" s="1"/>
      <c r="X97" s="1">
        <f t="shared" ref="X97:X99" si="75">+P97-T97</f>
        <v>1840.7800000000002</v>
      </c>
      <c r="Y97" s="1"/>
      <c r="Z97" s="5">
        <f t="shared" ref="Z97:Z99" si="76">IF(T97=0,0,X97/T97)</f>
        <v>3.1094256756756762</v>
      </c>
    </row>
    <row r="98" spans="1:26" s="24" customFormat="1" hidden="1" outlineLevel="2" x14ac:dyDescent="0.25">
      <c r="A98" s="27"/>
      <c r="B98" s="11" t="str">
        <f>CONCATENATE("          ", "6303", " - ", "DATA PHONE LINES")</f>
        <v xml:space="preserve">          6303 - DATA PHONE LINES</v>
      </c>
      <c r="C98" s="11"/>
      <c r="D98" s="6"/>
      <c r="E98" s="2"/>
      <c r="F98" s="7">
        <f t="shared" si="69"/>
        <v>0</v>
      </c>
      <c r="G98" s="2"/>
      <c r="H98" s="6">
        <v>150</v>
      </c>
      <c r="I98" s="2"/>
      <c r="J98" s="7">
        <f t="shared" si="70"/>
        <v>1.7653289396257502E-2</v>
      </c>
      <c r="K98" s="2"/>
      <c r="L98" s="6">
        <f t="shared" si="71"/>
        <v>-150</v>
      </c>
      <c r="M98" s="2"/>
      <c r="N98" s="7">
        <f t="shared" si="72"/>
        <v>-1</v>
      </c>
      <c r="O98" s="11"/>
      <c r="P98" s="6"/>
      <c r="Q98" s="2"/>
      <c r="R98" s="7">
        <f t="shared" si="73"/>
        <v>0</v>
      </c>
      <c r="S98" s="2"/>
      <c r="T98" s="6">
        <v>242</v>
      </c>
      <c r="U98" s="2"/>
      <c r="V98" s="7">
        <f t="shared" si="74"/>
        <v>1.8859102244389029E-2</v>
      </c>
      <c r="W98" s="2"/>
      <c r="X98" s="6">
        <f t="shared" si="75"/>
        <v>-242</v>
      </c>
      <c r="Y98" s="2"/>
      <c r="Z98" s="7">
        <f t="shared" si="76"/>
        <v>-1</v>
      </c>
    </row>
    <row r="99" spans="1:26" s="24" customFormat="1" hidden="1" outlineLevel="2" x14ac:dyDescent="0.25">
      <c r="A99" s="27"/>
      <c r="B99" s="11" t="str">
        <f>CONCATENATE("          ", "6309", " - ", "TELEPHONE")</f>
        <v xml:space="preserve">          6309 - TELEPHONE</v>
      </c>
      <c r="C99" s="11"/>
      <c r="D99" s="6">
        <v>1228.96</v>
      </c>
      <c r="E99" s="2"/>
      <c r="F99" s="7">
        <f t="shared" si="69"/>
        <v>0.26043136806147144</v>
      </c>
      <c r="G99" s="2"/>
      <c r="H99" s="6">
        <v>100</v>
      </c>
      <c r="I99" s="2"/>
      <c r="J99" s="7">
        <f t="shared" si="70"/>
        <v>1.1768859597505002E-2</v>
      </c>
      <c r="K99" s="2"/>
      <c r="L99" s="6">
        <f t="shared" si="71"/>
        <v>1128.96</v>
      </c>
      <c r="M99" s="2"/>
      <c r="N99" s="7">
        <f t="shared" si="72"/>
        <v>11.2896</v>
      </c>
      <c r="O99" s="11"/>
      <c r="P99" s="6">
        <v>2432.7800000000002</v>
      </c>
      <c r="Q99" s="2"/>
      <c r="R99" s="7">
        <f t="shared" si="73"/>
        <v>0.42726450468487936</v>
      </c>
      <c r="S99" s="2"/>
      <c r="T99" s="6">
        <v>350</v>
      </c>
      <c r="U99" s="2"/>
      <c r="V99" s="7">
        <f t="shared" si="74"/>
        <v>2.7275561097256859E-2</v>
      </c>
      <c r="W99" s="2"/>
      <c r="X99" s="6">
        <f t="shared" si="75"/>
        <v>2082.7800000000002</v>
      </c>
      <c r="Y99" s="2"/>
      <c r="Z99" s="7">
        <f t="shared" si="76"/>
        <v>5.950800000000001</v>
      </c>
    </row>
    <row r="100" spans="1:26" s="29" customFormat="1" outlineLevel="1" collapsed="1" x14ac:dyDescent="0.25">
      <c r="A100" s="28"/>
      <c r="B100" s="14" t="str">
        <f>CONCATENATE("     ","Training                                          ")</f>
        <v xml:space="preserve">     Training                                          </v>
      </c>
      <c r="C100" s="14"/>
      <c r="D100" s="1">
        <f>SUM(OSRRefD22_18x_0)</f>
        <v>0</v>
      </c>
      <c r="E100" s="1"/>
      <c r="F100" s="5">
        <f t="shared" ref="F100:F104" si="77">IF(D$12=0,0,D100/D$12)</f>
        <v>0</v>
      </c>
      <c r="G100" s="1"/>
      <c r="H100" s="1">
        <f>SUM(OSRRefH22_18x_0)</f>
        <v>0</v>
      </c>
      <c r="I100" s="1"/>
      <c r="J100" s="5">
        <f t="shared" ref="J100:J104" si="78">IF(H$12=0,0,H100/H$12)</f>
        <v>0</v>
      </c>
      <c r="K100" s="1"/>
      <c r="L100" s="1">
        <f t="shared" ref="L100:L104" si="79">+D100-H100</f>
        <v>0</v>
      </c>
      <c r="M100" s="1"/>
      <c r="N100" s="5">
        <f t="shared" ref="N100:N104" si="80">IF(H100=0,0,L100/H100)</f>
        <v>0</v>
      </c>
      <c r="O100" s="14"/>
      <c r="P100" s="1">
        <f>SUM(OSRRefP22_18x_0)</f>
        <v>0</v>
      </c>
      <c r="Q100" s="1"/>
      <c r="R100" s="5">
        <f t="shared" ref="R100:R104" si="81">IF(P$12=0,0,P100/P$12)</f>
        <v>0</v>
      </c>
      <c r="S100" s="1"/>
      <c r="T100" s="1">
        <f>SUM(OSRRefT22_18x_0)</f>
        <v>0</v>
      </c>
      <c r="U100" s="1"/>
      <c r="V100" s="5">
        <f t="shared" ref="V100:V104" si="82">IF(T$12=0,0,T100/T$12)</f>
        <v>0</v>
      </c>
      <c r="W100" s="1"/>
      <c r="X100" s="1">
        <f t="shared" ref="X100:X104" si="83">+P100-T100</f>
        <v>0</v>
      </c>
      <c r="Y100" s="1"/>
      <c r="Z100" s="5">
        <f t="shared" ref="Z100:Z104" si="84">IF(T100=0,0,X100/T100)</f>
        <v>0</v>
      </c>
    </row>
    <row r="101" spans="1:26" s="24" customFormat="1" hidden="1" outlineLevel="2" x14ac:dyDescent="0.25">
      <c r="A101" s="27"/>
      <c r="B101" s="11" t="str">
        <f>CONCATENATE("          ", "6376", " - ", "TRAINING")</f>
        <v xml:space="preserve">          6376 - TRAINING</v>
      </c>
      <c r="C101" s="11"/>
      <c r="D101" s="6"/>
      <c r="E101" s="2"/>
      <c r="F101" s="7">
        <f t="shared" si="77"/>
        <v>0</v>
      </c>
      <c r="G101" s="2"/>
      <c r="H101" s="6">
        <v>0</v>
      </c>
      <c r="I101" s="2"/>
      <c r="J101" s="7">
        <f t="shared" si="78"/>
        <v>0</v>
      </c>
      <c r="K101" s="2"/>
      <c r="L101" s="6">
        <f t="shared" si="79"/>
        <v>0</v>
      </c>
      <c r="M101" s="2"/>
      <c r="N101" s="7">
        <f t="shared" si="80"/>
        <v>0</v>
      </c>
      <c r="O101" s="11"/>
      <c r="P101" s="6"/>
      <c r="Q101" s="2"/>
      <c r="R101" s="7">
        <f t="shared" si="81"/>
        <v>0</v>
      </c>
      <c r="S101" s="2"/>
      <c r="T101" s="6">
        <v>0</v>
      </c>
      <c r="U101" s="2"/>
      <c r="V101" s="7">
        <f t="shared" si="82"/>
        <v>0</v>
      </c>
      <c r="W101" s="2"/>
      <c r="X101" s="6">
        <f t="shared" si="83"/>
        <v>0</v>
      </c>
      <c r="Y101" s="2"/>
      <c r="Z101" s="7">
        <f t="shared" si="84"/>
        <v>0</v>
      </c>
    </row>
    <row r="102" spans="1:26" s="29" customFormat="1" outlineLevel="1" collapsed="1" x14ac:dyDescent="0.25">
      <c r="A102" s="28"/>
      <c r="B102" s="14" t="str">
        <f>CONCATENATE("     ","Travel                                            ")</f>
        <v xml:space="preserve">     Travel                                            </v>
      </c>
      <c r="C102" s="14"/>
      <c r="D102" s="1">
        <f>SUM(OSRRefD22_19x_0)</f>
        <v>0</v>
      </c>
      <c r="E102" s="1"/>
      <c r="F102" s="5">
        <f t="shared" si="77"/>
        <v>0</v>
      </c>
      <c r="G102" s="1"/>
      <c r="H102" s="1">
        <f>SUM(OSRRefH22_19x_0)</f>
        <v>0</v>
      </c>
      <c r="I102" s="1"/>
      <c r="J102" s="5">
        <f t="shared" si="78"/>
        <v>0</v>
      </c>
      <c r="K102" s="1"/>
      <c r="L102" s="1">
        <f t="shared" si="79"/>
        <v>0</v>
      </c>
      <c r="M102" s="1"/>
      <c r="N102" s="5">
        <f t="shared" si="80"/>
        <v>0</v>
      </c>
      <c r="O102" s="14"/>
      <c r="P102" s="1">
        <f>SUM(OSRRefP22_19x_0)</f>
        <v>179.69</v>
      </c>
      <c r="Q102" s="1"/>
      <c r="R102" s="5">
        <f t="shared" si="81"/>
        <v>3.1558611484320806E-2</v>
      </c>
      <c r="S102" s="1"/>
      <c r="T102" s="1">
        <f>SUM(OSRRefT22_19x_0)</f>
        <v>0</v>
      </c>
      <c r="U102" s="1"/>
      <c r="V102" s="5">
        <f t="shared" si="82"/>
        <v>0</v>
      </c>
      <c r="W102" s="1"/>
      <c r="X102" s="1">
        <f t="shared" si="83"/>
        <v>179.69</v>
      </c>
      <c r="Y102" s="1"/>
      <c r="Z102" s="5">
        <f t="shared" si="84"/>
        <v>0</v>
      </c>
    </row>
    <row r="103" spans="1:26" s="24" customFormat="1" hidden="1" outlineLevel="2" x14ac:dyDescent="0.25">
      <c r="A103" s="27"/>
      <c r="B103" s="11" t="str">
        <f>CONCATENATE("          ", "6292", " - ", "TRAVEL/CONFERENCE")</f>
        <v xml:space="preserve">          6292 - TRAVEL/CONFERENCE</v>
      </c>
      <c r="C103" s="11"/>
      <c r="D103" s="6"/>
      <c r="E103" s="2"/>
      <c r="F103" s="7">
        <f t="shared" si="77"/>
        <v>0</v>
      </c>
      <c r="G103" s="2"/>
      <c r="H103" s="6"/>
      <c r="I103" s="2"/>
      <c r="J103" s="7">
        <f t="shared" si="78"/>
        <v>0</v>
      </c>
      <c r="K103" s="2"/>
      <c r="L103" s="6">
        <f t="shared" si="79"/>
        <v>0</v>
      </c>
      <c r="M103" s="2"/>
      <c r="N103" s="7">
        <f t="shared" si="80"/>
        <v>0</v>
      </c>
      <c r="O103" s="11"/>
      <c r="P103" s="6"/>
      <c r="Q103" s="2"/>
      <c r="R103" s="7">
        <f t="shared" si="81"/>
        <v>0</v>
      </c>
      <c r="S103" s="2"/>
      <c r="T103" s="6">
        <v>0</v>
      </c>
      <c r="U103" s="2"/>
      <c r="V103" s="7">
        <f t="shared" si="82"/>
        <v>0</v>
      </c>
      <c r="W103" s="2"/>
      <c r="X103" s="6">
        <f t="shared" si="83"/>
        <v>0</v>
      </c>
      <c r="Y103" s="2"/>
      <c r="Z103" s="7">
        <f t="shared" si="84"/>
        <v>0</v>
      </c>
    </row>
    <row r="104" spans="1:26" s="24" customFormat="1" hidden="1" outlineLevel="2" x14ac:dyDescent="0.25">
      <c r="A104" s="27"/>
      <c r="B104" s="11" t="str">
        <f>CONCATENATE("          ", "6298", " - ", "VEHICLE MILEAGE")</f>
        <v xml:space="preserve">          6298 - VEHICLE MILEAGE</v>
      </c>
      <c r="C104" s="11"/>
      <c r="D104" s="6"/>
      <c r="E104" s="2"/>
      <c r="F104" s="7">
        <f t="shared" si="77"/>
        <v>0</v>
      </c>
      <c r="G104" s="2"/>
      <c r="H104" s="6"/>
      <c r="I104" s="2"/>
      <c r="J104" s="7">
        <f t="shared" si="78"/>
        <v>0</v>
      </c>
      <c r="K104" s="2"/>
      <c r="L104" s="6">
        <f t="shared" si="79"/>
        <v>0</v>
      </c>
      <c r="M104" s="2"/>
      <c r="N104" s="7">
        <f t="shared" si="80"/>
        <v>0</v>
      </c>
      <c r="O104" s="11"/>
      <c r="P104" s="6">
        <v>179.69</v>
      </c>
      <c r="Q104" s="2"/>
      <c r="R104" s="7">
        <f t="shared" si="81"/>
        <v>3.1558611484320806E-2</v>
      </c>
      <c r="S104" s="2"/>
      <c r="T104" s="6"/>
      <c r="U104" s="2"/>
      <c r="V104" s="7">
        <f t="shared" si="82"/>
        <v>0</v>
      </c>
      <c r="W104" s="2"/>
      <c r="X104" s="6">
        <f t="shared" si="83"/>
        <v>179.69</v>
      </c>
      <c r="Y104" s="2"/>
      <c r="Z104" s="7">
        <f t="shared" si="84"/>
        <v>0</v>
      </c>
    </row>
    <row r="105" spans="1:26" s="29" customFormat="1" outlineLevel="1" collapsed="1" x14ac:dyDescent="0.25">
      <c r="A105" s="28"/>
      <c r="B105" s="14" t="str">
        <f>CONCATENATE("     ","Utilities                                         ")</f>
        <v xml:space="preserve">     Utilities                                         </v>
      </c>
      <c r="C105" s="14"/>
      <c r="D105" s="1">
        <f>SUM(OSRRefD22_20x_0)</f>
        <v>2300</v>
      </c>
      <c r="E105" s="1"/>
      <c r="F105" s="5">
        <f t="shared" ref="F105:F106" si="85">IF(D$12=0,0,D105/D$12)</f>
        <v>0.48739759352736001</v>
      </c>
      <c r="G105" s="1"/>
      <c r="H105" s="1">
        <f>SUM(OSRRefH22_20x_0)</f>
        <v>3300</v>
      </c>
      <c r="I105" s="1"/>
      <c r="J105" s="5">
        <f t="shared" ref="J105:J106" si="86">IF(H$12=0,0,H105/H$12)</f>
        <v>0.38837236671766506</v>
      </c>
      <c r="K105" s="1"/>
      <c r="L105" s="1">
        <f t="shared" ref="L105:L106" si="87">+D105-H105</f>
        <v>-1000</v>
      </c>
      <c r="M105" s="1"/>
      <c r="N105" s="5">
        <f t="shared" ref="N105:N106" si="88">IF(H105=0,0,L105/H105)</f>
        <v>-0.30303030303030304</v>
      </c>
      <c r="O105" s="14"/>
      <c r="P105" s="1">
        <f>SUM(OSRRefP22_20x_0)</f>
        <v>4600</v>
      </c>
      <c r="Q105" s="1"/>
      <c r="R105" s="5">
        <f t="shared" ref="R105:R106" si="89">IF(P$12=0,0,P105/P$12)</f>
        <v>0.80788921380085543</v>
      </c>
      <c r="S105" s="1"/>
      <c r="T105" s="1">
        <f>SUM(OSRRefT22_20x_0)</f>
        <v>6600</v>
      </c>
      <c r="U105" s="1"/>
      <c r="V105" s="5">
        <f t="shared" ref="V105:V106" si="90">IF(T$12=0,0,T105/T$12)</f>
        <v>0.51433915211970072</v>
      </c>
      <c r="W105" s="1"/>
      <c r="X105" s="1">
        <f t="shared" ref="X105:X106" si="91">+P105-T105</f>
        <v>-2000</v>
      </c>
      <c r="Y105" s="1"/>
      <c r="Z105" s="5">
        <f t="shared" ref="Z105:Z106" si="92">IF(T105=0,0,X105/T105)</f>
        <v>-0.30303030303030304</v>
      </c>
    </row>
    <row r="106" spans="1:26" s="24" customFormat="1" hidden="1" outlineLevel="2" x14ac:dyDescent="0.25">
      <c r="A106" s="27"/>
      <c r="B106" s="11" t="str">
        <f>CONCATENATE("          ", "6274", " - ", "UTILITIES")</f>
        <v xml:space="preserve">          6274 - UTILITIES</v>
      </c>
      <c r="C106" s="11"/>
      <c r="D106" s="6">
        <v>2300</v>
      </c>
      <c r="E106" s="2"/>
      <c r="F106" s="7">
        <f t="shared" si="85"/>
        <v>0.48739759352736001</v>
      </c>
      <c r="G106" s="2"/>
      <c r="H106" s="6">
        <v>3300</v>
      </c>
      <c r="I106" s="2"/>
      <c r="J106" s="7">
        <f t="shared" si="86"/>
        <v>0.38837236671766506</v>
      </c>
      <c r="K106" s="2"/>
      <c r="L106" s="6">
        <f t="shared" si="87"/>
        <v>-1000</v>
      </c>
      <c r="M106" s="2"/>
      <c r="N106" s="7">
        <f t="shared" si="88"/>
        <v>-0.30303030303030304</v>
      </c>
      <c r="O106" s="11"/>
      <c r="P106" s="6">
        <v>4600</v>
      </c>
      <c r="Q106" s="2"/>
      <c r="R106" s="7">
        <f t="shared" si="89"/>
        <v>0.80788921380085543</v>
      </c>
      <c r="S106" s="2"/>
      <c r="T106" s="6">
        <v>6600</v>
      </c>
      <c r="U106" s="2"/>
      <c r="V106" s="7">
        <f t="shared" si="90"/>
        <v>0.51433915211970072</v>
      </c>
      <c r="W106" s="2"/>
      <c r="X106" s="6">
        <f t="shared" si="91"/>
        <v>-2000</v>
      </c>
      <c r="Y106" s="2"/>
      <c r="Z106" s="7">
        <f t="shared" si="92"/>
        <v>-0.30303030303030304</v>
      </c>
    </row>
    <row r="107" spans="1:26" s="61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2" customFormat="1" collapsed="1" x14ac:dyDescent="0.25">
      <c r="A108" s="10"/>
      <c r="B108" s="25" t="s">
        <v>0</v>
      </c>
      <c r="C108" s="10"/>
      <c r="D108" s="4">
        <f>SUM(OSRRefD25x_0)</f>
        <v>737.84999999999991</v>
      </c>
      <c r="E108" s="4"/>
      <c r="F108" s="12">
        <f t="shared" ref="F108:F111" si="93">IF(D$12=0,0,D108/D$12)</f>
        <v>0.15635926712354892</v>
      </c>
      <c r="G108" s="4"/>
      <c r="H108" s="4">
        <f>SUM(OSRRefH25x_0)</f>
        <v>0</v>
      </c>
      <c r="I108" s="4"/>
      <c r="J108" s="12">
        <f t="shared" ref="J108:J111" si="94">IF(H$12=0,0,H108/H$12)</f>
        <v>0</v>
      </c>
      <c r="K108" s="4"/>
      <c r="L108" s="4">
        <f t="shared" ref="L108:L111" si="95">+D108-H108</f>
        <v>737.84999999999991</v>
      </c>
      <c r="M108" s="4"/>
      <c r="N108" s="12">
        <f t="shared" ref="N108:N111" si="96">IF(H108=0,0,L108/H108)</f>
        <v>0</v>
      </c>
      <c r="O108" s="10"/>
      <c r="P108" s="4">
        <f>SUM(OSRRefP25x_0)</f>
        <v>2814.39</v>
      </c>
      <c r="Q108" s="4"/>
      <c r="R108" s="12">
        <f t="shared" ref="R108:R111" si="97">IF(P$12=0,0,P108/P$12)</f>
        <v>0.49428594009325855</v>
      </c>
      <c r="S108" s="4"/>
      <c r="T108" s="4">
        <f>SUM(OSRRefT25x_0)</f>
        <v>0</v>
      </c>
      <c r="U108" s="4"/>
      <c r="V108" s="12">
        <f t="shared" ref="V108:V111" si="98">IF(T$12=0,0,T108/T$12)</f>
        <v>0</v>
      </c>
      <c r="W108" s="4"/>
      <c r="X108" s="4">
        <f t="shared" ref="X108:X111" si="99">+P108-T108</f>
        <v>2814.39</v>
      </c>
      <c r="Y108" s="4"/>
      <c r="Z108" s="12">
        <f t="shared" ref="Z108:Z111" si="100">IF(T108=0,0,X108/T108)</f>
        <v>0</v>
      </c>
    </row>
    <row r="109" spans="1:26" s="24" customFormat="1" hidden="1" outlineLevel="1" x14ac:dyDescent="0.25">
      <c r="A109" s="51"/>
      <c r="B109" s="11" t="str">
        <f>CONCATENATE("          ", "9150", " - ", "MISC. INCOME")</f>
        <v xml:space="preserve">          9150 - MISC. INCOME</v>
      </c>
      <c r="C109" s="11"/>
      <c r="D109" s="2">
        <f>--111.42</f>
        <v>111.42</v>
      </c>
      <c r="E109" s="2"/>
      <c r="F109" s="23">
        <f t="shared" si="93"/>
        <v>2.3611234726442804E-2</v>
      </c>
      <c r="G109" s="2"/>
      <c r="H109" s="2">
        <v>0</v>
      </c>
      <c r="I109" s="2"/>
      <c r="J109" s="23">
        <f t="shared" si="94"/>
        <v>0</v>
      </c>
      <c r="K109" s="2"/>
      <c r="L109" s="2">
        <f t="shared" si="95"/>
        <v>111.42</v>
      </c>
      <c r="M109" s="2"/>
      <c r="N109" s="23">
        <f t="shared" si="96"/>
        <v>0</v>
      </c>
      <c r="O109" s="11"/>
      <c r="P109" s="2">
        <f>--623.83</f>
        <v>623.83000000000004</v>
      </c>
      <c r="Q109" s="2"/>
      <c r="R109" s="23">
        <f t="shared" si="97"/>
        <v>0.10956207135769297</v>
      </c>
      <c r="S109" s="2"/>
      <c r="T109" s="2">
        <v>0</v>
      </c>
      <c r="U109" s="2"/>
      <c r="V109" s="23">
        <f t="shared" si="98"/>
        <v>0</v>
      </c>
      <c r="W109" s="2"/>
      <c r="X109" s="2">
        <f t="shared" si="99"/>
        <v>623.83000000000004</v>
      </c>
      <c r="Y109" s="2"/>
      <c r="Z109" s="23">
        <f t="shared" si="100"/>
        <v>0</v>
      </c>
    </row>
    <row r="110" spans="1:26" s="24" customFormat="1" hidden="1" outlineLevel="1" x14ac:dyDescent="0.25">
      <c r="A110" s="51"/>
      <c r="B110" s="11" t="str">
        <f>CONCATENATE("          ", "9160", " - ", "MISC. INCOME")</f>
        <v xml:space="preserve">          9160 - MISC. INCOME</v>
      </c>
      <c r="C110" s="11"/>
      <c r="D110" s="2">
        <f>--626.43</f>
        <v>626.42999999999995</v>
      </c>
      <c r="E110" s="2"/>
      <c r="F110" s="23">
        <f t="shared" si="93"/>
        <v>0.13274803239710614</v>
      </c>
      <c r="G110" s="2"/>
      <c r="H110" s="2"/>
      <c r="I110" s="2"/>
      <c r="J110" s="23">
        <f t="shared" si="94"/>
        <v>0</v>
      </c>
      <c r="K110" s="2"/>
      <c r="L110" s="2">
        <f t="shared" si="95"/>
        <v>626.42999999999995</v>
      </c>
      <c r="M110" s="2"/>
      <c r="N110" s="23">
        <f t="shared" si="96"/>
        <v>0</v>
      </c>
      <c r="O110" s="11"/>
      <c r="P110" s="2">
        <f>--1990.06</f>
        <v>1990.06</v>
      </c>
      <c r="Q110" s="2"/>
      <c r="R110" s="23">
        <f t="shared" si="97"/>
        <v>0.3495104366992457</v>
      </c>
      <c r="S110" s="2"/>
      <c r="T110" s="2"/>
      <c r="U110" s="2"/>
      <c r="V110" s="23">
        <f t="shared" si="98"/>
        <v>0</v>
      </c>
      <c r="W110" s="2"/>
      <c r="X110" s="2">
        <f t="shared" si="99"/>
        <v>1990.06</v>
      </c>
      <c r="Y110" s="2"/>
      <c r="Z110" s="23">
        <f t="shared" si="100"/>
        <v>0</v>
      </c>
    </row>
    <row r="111" spans="1:26" s="24" customFormat="1" hidden="1" outlineLevel="1" x14ac:dyDescent="0.25">
      <c r="A111" s="51"/>
      <c r="B111" s="11" t="str">
        <f>CONCATENATE("          ", "9165", " - ", "OTHER INCOME")</f>
        <v xml:space="preserve">          9165 - OTHER INCOME</v>
      </c>
      <c r="C111" s="11"/>
      <c r="D111" s="2">
        <f>0</f>
        <v>0</v>
      </c>
      <c r="E111" s="2"/>
      <c r="F111" s="23">
        <f t="shared" si="93"/>
        <v>0</v>
      </c>
      <c r="G111" s="2"/>
      <c r="H111" s="2"/>
      <c r="I111" s="2"/>
      <c r="J111" s="23">
        <f t="shared" si="94"/>
        <v>0</v>
      </c>
      <c r="K111" s="2"/>
      <c r="L111" s="2">
        <f t="shared" si="95"/>
        <v>0</v>
      </c>
      <c r="M111" s="2"/>
      <c r="N111" s="23">
        <f t="shared" si="96"/>
        <v>0</v>
      </c>
      <c r="O111" s="11"/>
      <c r="P111" s="2">
        <f>--200.5</f>
        <v>200.5</v>
      </c>
      <c r="Q111" s="2"/>
      <c r="R111" s="23">
        <f t="shared" si="97"/>
        <v>3.5213432036319894E-2</v>
      </c>
      <c r="S111" s="2"/>
      <c r="T111" s="2"/>
      <c r="U111" s="2"/>
      <c r="V111" s="23">
        <f t="shared" si="98"/>
        <v>0</v>
      </c>
      <c r="W111" s="2"/>
      <c r="X111" s="2">
        <f t="shared" si="99"/>
        <v>200.5</v>
      </c>
      <c r="Y111" s="2"/>
      <c r="Z111" s="23">
        <f t="shared" si="100"/>
        <v>0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2" customFormat="1" x14ac:dyDescent="0.25">
      <c r="A113" s="10"/>
      <c r="B113" s="26" t="s">
        <v>3</v>
      </c>
      <c r="C113" s="26"/>
      <c r="D113" s="21">
        <f>+D24-D26+D108</f>
        <v>-83625.710000000006</v>
      </c>
      <c r="E113" s="13"/>
      <c r="F113" s="20">
        <f>IF(D$12=0,0,D113/D$12)</f>
        <v>-17.721291222181254</v>
      </c>
      <c r="G113" s="13"/>
      <c r="H113" s="21">
        <f>+H24-H26+H108</f>
        <v>-101034.00526457948</v>
      </c>
      <c r="I113" s="13"/>
      <c r="J113" s="20">
        <f>IF(H$12=0,0,H113/H$12)</f>
        <v>-11.890550225324171</v>
      </c>
      <c r="K113" s="16"/>
      <c r="L113" s="21">
        <f>+D113-H113</f>
        <v>17408.295264579472</v>
      </c>
      <c r="M113" s="16"/>
      <c r="N113" s="20">
        <f>IF(H113=0,0,L113/H113)</f>
        <v>-0.17230134764025312</v>
      </c>
      <c r="O113" s="25"/>
      <c r="P113" s="21">
        <f>+P24-P26+P108</f>
        <v>-207699.40999999997</v>
      </c>
      <c r="Q113" s="13"/>
      <c r="R113" s="20">
        <f>IF(P$12=0,0,P113/P$12)</f>
        <v>-36.477850663435106</v>
      </c>
      <c r="S113" s="13"/>
      <c r="T113" s="21">
        <f>+T24-T26+T108</f>
        <v>-208674.83712197049</v>
      </c>
      <c r="U113" s="13"/>
      <c r="V113" s="20">
        <f>IF(T$12=0,0,T113/T$12)</f>
        <v>-16.262066483944086</v>
      </c>
      <c r="W113" s="16"/>
      <c r="X113" s="21">
        <f>+P113-T113</f>
        <v>975.42712197051151</v>
      </c>
      <c r="Y113" s="16"/>
      <c r="Z113" s="20">
        <f>IF(T113=0,0,X113/T113)</f>
        <v>-4.6743878438988513E-3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2" customFormat="1" x14ac:dyDescent="0.25">
      <c r="A115" s="52"/>
      <c r="B115" s="10" t="s">
        <v>14</v>
      </c>
      <c r="C115" s="10"/>
      <c r="D115" s="4">
        <v>492.45</v>
      </c>
      <c r="E115" s="4"/>
      <c r="F115" s="12">
        <f>IF(D$12=0,0,D115/D$12)</f>
        <v>0.10435606301415148</v>
      </c>
      <c r="G115" s="4"/>
      <c r="H115" s="4">
        <v>-10</v>
      </c>
      <c r="I115" s="4"/>
      <c r="J115" s="12">
        <f>IF(H$12=0,0,H115/H$12)</f>
        <v>-1.1768859597505001E-3</v>
      </c>
      <c r="K115" s="4"/>
      <c r="L115" s="4">
        <f>+D115-H115</f>
        <v>502.45</v>
      </c>
      <c r="M115" s="4"/>
      <c r="N115" s="12">
        <f>IF(H115=0,0,L115/H115)</f>
        <v>-50.244999999999997</v>
      </c>
      <c r="O115" s="10"/>
      <c r="P115" s="4">
        <v>961.33</v>
      </c>
      <c r="Q115" s="4"/>
      <c r="R115" s="12">
        <f>IF(P$12=0,0,P115/P$12)</f>
        <v>0.16883655171808182</v>
      </c>
      <c r="S115" s="4"/>
      <c r="T115" s="4">
        <v>2096</v>
      </c>
      <c r="U115" s="4"/>
      <c r="V115" s="12">
        <f>IF(T$12=0,0,T115/T$12)</f>
        <v>0.1633416458852868</v>
      </c>
      <c r="W115" s="4"/>
      <c r="X115" s="4">
        <f>+P115-T115</f>
        <v>-1134.67</v>
      </c>
      <c r="Y115" s="4"/>
      <c r="Z115" s="12">
        <f>IF(T115=0,0,X115/T115)</f>
        <v>-0.54135019083969471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2" customFormat="1" ht="15.75" thickBot="1" x14ac:dyDescent="0.3">
      <c r="A117" s="10"/>
      <c r="B117" s="26" t="s">
        <v>4</v>
      </c>
      <c r="C117" s="26"/>
      <c r="D117" s="33">
        <f>+D113-D115</f>
        <v>-84118.16</v>
      </c>
      <c r="E117" s="13"/>
      <c r="F117" s="31">
        <f>IF(D$12=0,0,D117/D$12)</f>
        <v>-17.825647285195405</v>
      </c>
      <c r="G117" s="13"/>
      <c r="H117" s="33">
        <f>+H113-H115</f>
        <v>-101024.00526457948</v>
      </c>
      <c r="I117" s="13"/>
      <c r="J117" s="31">
        <f>IF(H$12=0,0,H117/H$12)</f>
        <v>-11.88937333936442</v>
      </c>
      <c r="K117" s="16"/>
      <c r="L117" s="33">
        <f>D117-H117</f>
        <v>16905.845264579475</v>
      </c>
      <c r="M117" s="16"/>
      <c r="N117" s="31">
        <f>IF(H117=0,0,L117/H117)</f>
        <v>-0.16734483274844891</v>
      </c>
      <c r="O117" s="25"/>
      <c r="P117" s="33">
        <f>+P113-P115</f>
        <v>-208660.73999999996</v>
      </c>
      <c r="Q117" s="13"/>
      <c r="R117" s="31">
        <f>IF(P$12=0,0,P117/P$12)</f>
        <v>-36.646687215153186</v>
      </c>
      <c r="S117" s="13"/>
      <c r="T117" s="33">
        <f>+T113-T115</f>
        <v>-210770.83712197049</v>
      </c>
      <c r="U117" s="13"/>
      <c r="V117" s="31">
        <f>IF(T$12=0,0,T117/T$12)</f>
        <v>-16.425408129829371</v>
      </c>
      <c r="W117" s="16"/>
      <c r="X117" s="33">
        <f>P117-T117</f>
        <v>2110.0971219705243</v>
      </c>
      <c r="Y117" s="16"/>
      <c r="Z117" s="31">
        <f>IF(T117=0,0,X117/T117)</f>
        <v>-1.0011333402587556E-2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2" customFormat="1" ht="15.75" thickBot="1" x14ac:dyDescent="0.3">
      <c r="A120" s="10"/>
      <c r="B120" s="26" t="s">
        <v>5</v>
      </c>
      <c r="C120" s="26"/>
      <c r="D120" s="32">
        <f>SUM(D117:D119)</f>
        <v>-84118.16</v>
      </c>
      <c r="E120" s="13"/>
      <c r="F120" s="35">
        <f>IF(D$12=0,0,D120/D$12)</f>
        <v>-17.825647285195405</v>
      </c>
      <c r="G120" s="13"/>
      <c r="H120" s="32">
        <f>SUM(H117:H119)</f>
        <v>-101024.00526457948</v>
      </c>
      <c r="I120" s="13"/>
      <c r="J120" s="35">
        <f>IF(H$12=0,0,H120/H$12)</f>
        <v>-11.88937333936442</v>
      </c>
      <c r="K120" s="16"/>
      <c r="L120" s="32">
        <f>+D120-H120</f>
        <v>16905.845264579475</v>
      </c>
      <c r="M120" s="16"/>
      <c r="N120" s="35">
        <f>IF(H120=0,0,L120/H120)</f>
        <v>-0.16734483274844891</v>
      </c>
      <c r="O120" s="25"/>
      <c r="P120" s="32">
        <f>SUM(P117:P119)</f>
        <v>-208660.73999999996</v>
      </c>
      <c r="Q120" s="13"/>
      <c r="R120" s="35">
        <f>IF(P$12=0,0,P120/P$12)</f>
        <v>-36.646687215153186</v>
      </c>
      <c r="S120" s="13"/>
      <c r="T120" s="32">
        <f>SUM(T117:T119)</f>
        <v>-210770.83712197049</v>
      </c>
      <c r="U120" s="13"/>
      <c r="V120" s="35">
        <f>IF(T$12=0,0,T120/T$12)</f>
        <v>-16.425408129829371</v>
      </c>
      <c r="W120" s="16"/>
      <c r="X120" s="32">
        <f>+P120-T120</f>
        <v>2110.0971219705243</v>
      </c>
      <c r="Y120" s="16"/>
      <c r="Z120" s="35">
        <f>IF(T120=0,0,X120/T120)</f>
        <v>-1.0011333402587556E-2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9">
        <v>44113.689094328707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62" t="s">
        <v>314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63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","405", " - ", "Library Starbucks")</f>
        <v>Department 405 - Library Starbucks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 t="shared" ref="P13:P14" si="5"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3"/>
      <c r="G14" s="2"/>
      <c r="H14" s="2">
        <v>0</v>
      </c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 t="shared" si="5"/>
        <v>0</v>
      </c>
      <c r="Q14" s="2"/>
      <c r="R14" s="23"/>
      <c r="S14" s="2"/>
      <c r="T14" s="2">
        <v>0</v>
      </c>
      <c r="U14" s="2"/>
      <c r="V14" s="23"/>
      <c r="W14" s="2"/>
      <c r="X14" s="2">
        <f t="shared" si="2"/>
        <v>0</v>
      </c>
      <c r="Y14" s="2"/>
      <c r="Z14" s="23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3">
        <f t="shared" si="6"/>
        <v>0</v>
      </c>
      <c r="G17" s="2"/>
      <c r="H17" s="2">
        <v>0</v>
      </c>
      <c r="I17" s="2"/>
      <c r="J17" s="23">
        <f t="shared" si="7"/>
        <v>0</v>
      </c>
      <c r="K17" s="2"/>
      <c r="L17" s="2">
        <f t="shared" si="8"/>
        <v>0</v>
      </c>
      <c r="M17" s="2"/>
      <c r="N17" s="23">
        <f t="shared" si="9"/>
        <v>0</v>
      </c>
      <c r="O17" s="11"/>
      <c r="P17" s="2"/>
      <c r="Q17" s="2"/>
      <c r="R17" s="23">
        <f t="shared" si="10"/>
        <v>0</v>
      </c>
      <c r="S17" s="2"/>
      <c r="T17" s="2">
        <v>0</v>
      </c>
      <c r="U17" s="2"/>
      <c r="V17" s="23">
        <f t="shared" si="11"/>
        <v>0</v>
      </c>
      <c r="W17" s="2"/>
      <c r="X17" s="2">
        <f t="shared" si="12"/>
        <v>0</v>
      </c>
      <c r="Y17" s="2"/>
      <c r="Z17" s="23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2" customFormat="1" x14ac:dyDescent="0.25">
      <c r="A19" s="10"/>
      <c r="B19" s="26" t="s">
        <v>6</v>
      </c>
      <c r="C19" s="26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5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5" t="s">
        <v>9</v>
      </c>
      <c r="C21" s="10"/>
      <c r="D21" s="19">
        <f>SUM(OSRRefD22x_0)</f>
        <v>4682.1000000000004</v>
      </c>
      <c r="E21" s="19"/>
      <c r="F21" s="30">
        <f t="shared" ref="F21:F30" si="14">IF(D$12=0,0,D21/D$12)</f>
        <v>0</v>
      </c>
      <c r="G21" s="19"/>
      <c r="H21" s="19">
        <f>SUM(OSRRefH22x_0)</f>
        <v>7481.333333333333</v>
      </c>
      <c r="I21" s="19"/>
      <c r="J21" s="30">
        <f t="shared" ref="J21:J30" si="15">IF(H$12=0,0,H21/H$12)</f>
        <v>0</v>
      </c>
      <c r="K21" s="4"/>
      <c r="L21" s="19">
        <f t="shared" ref="L21:L30" si="16">+D21-H21</f>
        <v>-2799.2333333333327</v>
      </c>
      <c r="M21" s="4"/>
      <c r="N21" s="30">
        <f t="shared" ref="N21:N30" si="17">IF(H21=0,0,L21/H21)</f>
        <v>-0.37416235965068606</v>
      </c>
      <c r="O21" s="10"/>
      <c r="P21" s="19">
        <f>SUM(OSRRefP22x_0)</f>
        <v>11149.7</v>
      </c>
      <c r="Q21" s="19"/>
      <c r="R21" s="30">
        <f t="shared" ref="R21:R30" si="18">IF(P$12=0,0,P21/P$12)</f>
        <v>0</v>
      </c>
      <c r="S21" s="19"/>
      <c r="T21" s="19">
        <f>SUM(OSRRefT22x_0)</f>
        <v>14962.666666666666</v>
      </c>
      <c r="U21" s="19"/>
      <c r="V21" s="30">
        <f t="shared" ref="V21:V30" si="19">IF(T$12=0,0,T21/T$12)</f>
        <v>0</v>
      </c>
      <c r="W21" s="4"/>
      <c r="X21" s="19">
        <f t="shared" ref="X21:X30" si="20">+P21-T21</f>
        <v>-3812.9666666666653</v>
      </c>
      <c r="Y21" s="4"/>
      <c r="Z21" s="30">
        <f t="shared" ref="Z21:Z30" si="21">IF(T21=0,0,X21/T21)</f>
        <v>-0.25483202637675983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/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0</v>
      </c>
      <c r="Y23" s="2"/>
      <c r="Z23" s="7">
        <f t="shared" si="21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0</v>
      </c>
      <c r="Y25" s="2"/>
      <c r="Z25" s="7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9" customFormat="1" outlineLevel="1" collapsed="1" x14ac:dyDescent="0.25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9" customFormat="1" outlineLevel="1" collapsed="1" x14ac:dyDescent="0.25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5330.05</v>
      </c>
      <c r="E46" s="1"/>
      <c r="F46" s="5">
        <f t="shared" si="30"/>
        <v>0</v>
      </c>
      <c r="G46" s="1"/>
      <c r="H46" s="1">
        <f>SUM(OSRRefH22_4x_0)</f>
        <v>5330</v>
      </c>
      <c r="I46" s="1"/>
      <c r="J46" s="5">
        <f t="shared" si="31"/>
        <v>0</v>
      </c>
      <c r="K46" s="1"/>
      <c r="L46" s="1">
        <f t="shared" si="32"/>
        <v>5.0000000000181899E-2</v>
      </c>
      <c r="M46" s="1"/>
      <c r="N46" s="5">
        <f t="shared" si="33"/>
        <v>9.3808630394337517E-6</v>
      </c>
      <c r="O46" s="14"/>
      <c r="P46" s="1">
        <f>SUM(OSRRefP22_4x_0)</f>
        <v>10660.1</v>
      </c>
      <c r="Q46" s="1"/>
      <c r="R46" s="5">
        <f t="shared" si="34"/>
        <v>0</v>
      </c>
      <c r="S46" s="1"/>
      <c r="T46" s="1">
        <f>SUM(OSRRefT22_4x_0)</f>
        <v>10660</v>
      </c>
      <c r="U46" s="1"/>
      <c r="V46" s="5">
        <f t="shared" si="35"/>
        <v>0</v>
      </c>
      <c r="W46" s="1"/>
      <c r="X46" s="1">
        <f t="shared" si="36"/>
        <v>0.1000000000003638</v>
      </c>
      <c r="Y46" s="1"/>
      <c r="Z46" s="5">
        <f t="shared" si="37"/>
        <v>9.3808630394337517E-6</v>
      </c>
    </row>
    <row r="47" spans="1:26" s="24" customFormat="1" hidden="1" outlineLevel="2" x14ac:dyDescent="0.25">
      <c r="A47" s="27"/>
      <c r="B47" s="11" t="str">
        <f>CONCATENATE("          ", "6321", " - ", "BUILDING DEPRECIATION")</f>
        <v xml:space="preserve">          6321 - BUILDING DEPRECIATION</v>
      </c>
      <c r="C47" s="11"/>
      <c r="D47" s="6">
        <v>4626.5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4626.5</v>
      </c>
      <c r="M47" s="2"/>
      <c r="N47" s="7">
        <f t="shared" si="33"/>
        <v>0</v>
      </c>
      <c r="O47" s="11"/>
      <c r="P47" s="6">
        <v>9253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9253</v>
      </c>
      <c r="Y47" s="2"/>
      <c r="Z47" s="7">
        <f t="shared" si="37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703.55</v>
      </c>
      <c r="E48" s="2"/>
      <c r="F48" s="7">
        <f t="shared" si="30"/>
        <v>0</v>
      </c>
      <c r="G48" s="2"/>
      <c r="H48" s="6">
        <v>5330</v>
      </c>
      <c r="I48" s="2"/>
      <c r="J48" s="7">
        <f t="shared" si="31"/>
        <v>0</v>
      </c>
      <c r="K48" s="2"/>
      <c r="L48" s="6">
        <f t="shared" si="32"/>
        <v>-4626.45</v>
      </c>
      <c r="M48" s="2"/>
      <c r="N48" s="7">
        <f t="shared" si="33"/>
        <v>-0.86800187617260782</v>
      </c>
      <c r="O48" s="11"/>
      <c r="P48" s="6">
        <v>1407.1</v>
      </c>
      <c r="Q48" s="2"/>
      <c r="R48" s="7">
        <f t="shared" si="34"/>
        <v>0</v>
      </c>
      <c r="S48" s="2"/>
      <c r="T48" s="6">
        <v>10660</v>
      </c>
      <c r="U48" s="2"/>
      <c r="V48" s="7">
        <f t="shared" si="35"/>
        <v>0</v>
      </c>
      <c r="W48" s="2"/>
      <c r="X48" s="6">
        <f t="shared" si="36"/>
        <v>-9252.9</v>
      </c>
      <c r="Y48" s="2"/>
      <c r="Z48" s="7">
        <f t="shared" si="37"/>
        <v>-0.86800187617260782</v>
      </c>
    </row>
    <row r="49" spans="1:26" s="29" customFormat="1" outlineLevel="1" collapsed="1" x14ac:dyDescent="0.25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0</v>
      </c>
      <c r="E49" s="1"/>
      <c r="F49" s="5">
        <f t="shared" ref="F49:F57" si="38">IF(D$12=0,0,D49/D$12)</f>
        <v>0</v>
      </c>
      <c r="G49" s="1"/>
      <c r="H49" s="1">
        <f>SUM(OSRRefH22_5x_0)</f>
        <v>208.333333333333</v>
      </c>
      <c r="I49" s="1"/>
      <c r="J49" s="5">
        <f t="shared" ref="J49:J57" si="39">IF(H$12=0,0,H49/H$12)</f>
        <v>0</v>
      </c>
      <c r="K49" s="1"/>
      <c r="L49" s="1">
        <f t="shared" ref="L49:L57" si="40">+D49-H49</f>
        <v>-208.333333333333</v>
      </c>
      <c r="M49" s="1"/>
      <c r="N49" s="5">
        <f t="shared" ref="N49:N57" si="41">IF(H49=0,0,L49/H49)</f>
        <v>-1</v>
      </c>
      <c r="O49" s="14"/>
      <c r="P49" s="1">
        <f>SUM(OSRRefP22_5x_0)</f>
        <v>0</v>
      </c>
      <c r="Q49" s="1"/>
      <c r="R49" s="5">
        <f t="shared" ref="R49:R57" si="42">IF(P$12=0,0,P49/P$12)</f>
        <v>0</v>
      </c>
      <c r="S49" s="1"/>
      <c r="T49" s="1">
        <f>SUM(OSRRefT22_5x_0)</f>
        <v>416.666666666666</v>
      </c>
      <c r="U49" s="1"/>
      <c r="V49" s="5">
        <f t="shared" ref="V49:V57" si="43">IF(T$12=0,0,T49/T$12)</f>
        <v>0</v>
      </c>
      <c r="W49" s="1"/>
      <c r="X49" s="1">
        <f t="shared" ref="X49:X57" si="44">+P49-T49</f>
        <v>-416.666666666666</v>
      </c>
      <c r="Y49" s="1"/>
      <c r="Z49" s="5">
        <f t="shared" ref="Z49:Z57" si="45">IF(T49=0,0,X49/T49)</f>
        <v>-1</v>
      </c>
    </row>
    <row r="50" spans="1:26" s="24" customFormat="1" hidden="1" outlineLevel="2" x14ac:dyDescent="0.25">
      <c r="A50" s="27"/>
      <c r="B50" s="11" t="str">
        <f>CONCATENATE("          ", "6351", " - ", "EQUIPMENT RENTAL")</f>
        <v xml:space="preserve">          6351 - EQUIPMENT RENTAL</v>
      </c>
      <c r="C50" s="11"/>
      <c r="D50" s="6"/>
      <c r="E50" s="2"/>
      <c r="F50" s="7">
        <f t="shared" si="38"/>
        <v>0</v>
      </c>
      <c r="G50" s="2"/>
      <c r="H50" s="6">
        <v>208.333333333333</v>
      </c>
      <c r="I50" s="2"/>
      <c r="J50" s="7">
        <f t="shared" si="39"/>
        <v>0</v>
      </c>
      <c r="K50" s="2"/>
      <c r="L50" s="6">
        <f t="shared" si="40"/>
        <v>-208.333333333333</v>
      </c>
      <c r="M50" s="2"/>
      <c r="N50" s="7">
        <f t="shared" si="41"/>
        <v>-1</v>
      </c>
      <c r="O50" s="11"/>
      <c r="P50" s="6"/>
      <c r="Q50" s="2"/>
      <c r="R50" s="7">
        <f t="shared" si="42"/>
        <v>0</v>
      </c>
      <c r="S50" s="2"/>
      <c r="T50" s="6">
        <v>416.666666666666</v>
      </c>
      <c r="U50" s="2"/>
      <c r="V50" s="7">
        <f t="shared" si="43"/>
        <v>0</v>
      </c>
      <c r="W50" s="2"/>
      <c r="X50" s="6">
        <f t="shared" si="44"/>
        <v>-416.666666666666</v>
      </c>
      <c r="Y50" s="2"/>
      <c r="Z50" s="7">
        <f t="shared" si="45"/>
        <v>-1</v>
      </c>
    </row>
    <row r="51" spans="1:26" s="29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-1114.55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-1114.55</v>
      </c>
      <c r="M51" s="1"/>
      <c r="N51" s="5">
        <f t="shared" si="41"/>
        <v>0</v>
      </c>
      <c r="O51" s="14"/>
      <c r="P51" s="1">
        <f>SUM(OSRRefP22_6x_0)</f>
        <v>0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>
        <v>-1114.55</v>
      </c>
      <c r="E52" s="2"/>
      <c r="F52" s="7">
        <f t="shared" si="38"/>
        <v>0</v>
      </c>
      <c r="G52" s="2"/>
      <c r="H52" s="6">
        <v>0</v>
      </c>
      <c r="I52" s="2"/>
      <c r="J52" s="7">
        <f t="shared" si="39"/>
        <v>0</v>
      </c>
      <c r="K52" s="2"/>
      <c r="L52" s="6">
        <f t="shared" si="40"/>
        <v>-1114.55</v>
      </c>
      <c r="M52" s="2"/>
      <c r="N52" s="7">
        <f t="shared" si="41"/>
        <v>0</v>
      </c>
      <c r="O52" s="11"/>
      <c r="P52" s="6">
        <v>0</v>
      </c>
      <c r="Q52" s="2"/>
      <c r="R52" s="7">
        <f t="shared" si="42"/>
        <v>0</v>
      </c>
      <c r="S52" s="2"/>
      <c r="T52" s="6">
        <v>0</v>
      </c>
      <c r="U52" s="2"/>
      <c r="V52" s="7">
        <f t="shared" si="43"/>
        <v>0</v>
      </c>
      <c r="W52" s="2"/>
      <c r="X52" s="6">
        <f t="shared" si="44"/>
        <v>0</v>
      </c>
      <c r="Y52" s="2"/>
      <c r="Z52" s="7">
        <f t="shared" si="45"/>
        <v>0</v>
      </c>
    </row>
    <row r="53" spans="1:26" s="29" customFormat="1" outlineLevel="1" collapsed="1" x14ac:dyDescent="0.25">
      <c r="A53" s="28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1943</v>
      </c>
      <c r="I53" s="1"/>
      <c r="J53" s="5">
        <f t="shared" si="39"/>
        <v>0</v>
      </c>
      <c r="K53" s="1"/>
      <c r="L53" s="1">
        <f t="shared" si="40"/>
        <v>-1943</v>
      </c>
      <c r="M53" s="1"/>
      <c r="N53" s="5">
        <f t="shared" si="41"/>
        <v>-1</v>
      </c>
      <c r="O53" s="14"/>
      <c r="P53" s="1">
        <f>SUM(OSRRefP22_7x_0)</f>
        <v>0</v>
      </c>
      <c r="Q53" s="1"/>
      <c r="R53" s="5">
        <f t="shared" si="42"/>
        <v>0</v>
      </c>
      <c r="S53" s="1"/>
      <c r="T53" s="1">
        <f>SUM(OSRRefT22_7x_0)</f>
        <v>3886</v>
      </c>
      <c r="U53" s="1"/>
      <c r="V53" s="5">
        <f t="shared" si="43"/>
        <v>0</v>
      </c>
      <c r="W53" s="1"/>
      <c r="X53" s="1">
        <f t="shared" si="44"/>
        <v>-3886</v>
      </c>
      <c r="Y53" s="1"/>
      <c r="Z53" s="5">
        <f t="shared" si="45"/>
        <v>-1</v>
      </c>
    </row>
    <row r="54" spans="1:26" s="24" customFormat="1" hidden="1" outlineLevel="2" x14ac:dyDescent="0.25">
      <c r="A54" s="27"/>
      <c r="B54" s="11" t="str">
        <f>CONCATENATE("          ", "6273", " - ", "RENT")</f>
        <v xml:space="preserve">          6273 - RENT</v>
      </c>
      <c r="C54" s="11"/>
      <c r="D54" s="6"/>
      <c r="E54" s="2"/>
      <c r="F54" s="7">
        <f t="shared" si="38"/>
        <v>0</v>
      </c>
      <c r="G54" s="2"/>
      <c r="H54" s="6">
        <v>1943</v>
      </c>
      <c r="I54" s="2"/>
      <c r="J54" s="7">
        <f t="shared" si="39"/>
        <v>0</v>
      </c>
      <c r="K54" s="2"/>
      <c r="L54" s="6">
        <f t="shared" si="40"/>
        <v>-1943</v>
      </c>
      <c r="M54" s="2"/>
      <c r="N54" s="7">
        <f t="shared" si="41"/>
        <v>-1</v>
      </c>
      <c r="O54" s="11"/>
      <c r="P54" s="6"/>
      <c r="Q54" s="2"/>
      <c r="R54" s="7">
        <f t="shared" si="42"/>
        <v>0</v>
      </c>
      <c r="S54" s="2"/>
      <c r="T54" s="6">
        <v>3886</v>
      </c>
      <c r="U54" s="2"/>
      <c r="V54" s="7">
        <f t="shared" si="43"/>
        <v>0</v>
      </c>
      <c r="W54" s="2"/>
      <c r="X54" s="6">
        <f t="shared" si="44"/>
        <v>-3886</v>
      </c>
      <c r="Y54" s="2"/>
      <c r="Z54" s="7">
        <f t="shared" si="45"/>
        <v>-1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420.6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420.6</v>
      </c>
      <c r="M55" s="1"/>
      <c r="N55" s="5">
        <f t="shared" si="41"/>
        <v>0</v>
      </c>
      <c r="O55" s="14"/>
      <c r="P55" s="1">
        <f>SUM(OSRRefP22_8x_0)</f>
        <v>420.6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420.6</v>
      </c>
      <c r="Y55" s="1"/>
      <c r="Z55" s="5">
        <f t="shared" si="45"/>
        <v>0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78.599999999999994</v>
      </c>
      <c r="E56" s="2"/>
      <c r="F56" s="7">
        <f t="shared" si="38"/>
        <v>0</v>
      </c>
      <c r="G56" s="2"/>
      <c r="H56" s="6">
        <v>0</v>
      </c>
      <c r="I56" s="2"/>
      <c r="J56" s="7">
        <f t="shared" si="39"/>
        <v>0</v>
      </c>
      <c r="K56" s="2"/>
      <c r="L56" s="6">
        <f t="shared" si="40"/>
        <v>78.599999999999994</v>
      </c>
      <c r="M56" s="2"/>
      <c r="N56" s="7">
        <f t="shared" si="41"/>
        <v>0</v>
      </c>
      <c r="O56" s="11"/>
      <c r="P56" s="6">
        <v>78.599999999999994</v>
      </c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78.599999999999994</v>
      </c>
      <c r="Y56" s="2"/>
      <c r="Z56" s="7">
        <f t="shared" si="45"/>
        <v>0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342</v>
      </c>
      <c r="E57" s="2"/>
      <c r="F57" s="7">
        <f t="shared" si="38"/>
        <v>0</v>
      </c>
      <c r="G57" s="2"/>
      <c r="H57" s="6">
        <v>0</v>
      </c>
      <c r="I57" s="2"/>
      <c r="J57" s="7">
        <f t="shared" si="39"/>
        <v>0</v>
      </c>
      <c r="K57" s="2"/>
      <c r="L57" s="6">
        <f t="shared" si="40"/>
        <v>342</v>
      </c>
      <c r="M57" s="2"/>
      <c r="N57" s="7">
        <f t="shared" si="41"/>
        <v>0</v>
      </c>
      <c r="O57" s="11"/>
      <c r="P57" s="6">
        <v>342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342</v>
      </c>
      <c r="Y57" s="2"/>
      <c r="Z57" s="7">
        <f t="shared" si="45"/>
        <v>0</v>
      </c>
    </row>
    <row r="58" spans="1:26" s="29" customFormat="1" outlineLevel="1" collapsed="1" x14ac:dyDescent="0.25">
      <c r="A58" s="28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SUM(OSRRefD22_9x_0)</f>
        <v>0</v>
      </c>
      <c r="E58" s="1"/>
      <c r="F58" s="5">
        <f t="shared" ref="F58:F62" si="46">IF(D$12=0,0,D58/D$12)</f>
        <v>0</v>
      </c>
      <c r="G58" s="1"/>
      <c r="H58" s="1">
        <f>SUM(OSRRefH22_9x_0)</f>
        <v>0</v>
      </c>
      <c r="I58" s="1"/>
      <c r="J58" s="5">
        <f t="shared" ref="J58:J62" si="47">IF(H$12=0,0,H58/H$12)</f>
        <v>0</v>
      </c>
      <c r="K58" s="1"/>
      <c r="L58" s="1">
        <f t="shared" ref="L58:L62" si="48">+D58-H58</f>
        <v>0</v>
      </c>
      <c r="M58" s="1"/>
      <c r="N58" s="5">
        <f t="shared" ref="N58:N62" si="49">IF(H58=0,0,L58/H58)</f>
        <v>0</v>
      </c>
      <c r="O58" s="14"/>
      <c r="P58" s="1">
        <f>SUM(OSRRefP22_9x_0)</f>
        <v>0</v>
      </c>
      <c r="Q58" s="1"/>
      <c r="R58" s="5">
        <f t="shared" ref="R58:R62" si="50">IF(P$12=0,0,P58/P$12)</f>
        <v>0</v>
      </c>
      <c r="S58" s="1"/>
      <c r="T58" s="1">
        <f>SUM(OSRRefT22_9x_0)</f>
        <v>0</v>
      </c>
      <c r="U58" s="1"/>
      <c r="V58" s="5">
        <f t="shared" ref="V58:V62" si="51">IF(T$12=0,0,T58/T$12)</f>
        <v>0</v>
      </c>
      <c r="W58" s="1"/>
      <c r="X58" s="1">
        <f t="shared" ref="X58:X62" si="52">+P58-T58</f>
        <v>0</v>
      </c>
      <c r="Y58" s="1"/>
      <c r="Z58" s="5">
        <f t="shared" ref="Z58:Z62" si="53">IF(T58=0,0,X58/T58)</f>
        <v>0</v>
      </c>
    </row>
    <row r="59" spans="1:26" s="24" customFormat="1" hidden="1" outlineLevel="2" x14ac:dyDescent="0.25">
      <c r="A59" s="27"/>
      <c r="B59" s="11" t="str">
        <f>CONCATENATE("          ", "6282", " - ", "JANITORIAL/EXTERMINATOR EXPENS")</f>
        <v xml:space="preserve">          6282 - JANITORIAL/EXTERMINATOR EXPENS</v>
      </c>
      <c r="C59" s="11"/>
      <c r="D59" s="6"/>
      <c r="E59" s="2"/>
      <c r="F59" s="7">
        <f t="shared" si="46"/>
        <v>0</v>
      </c>
      <c r="G59" s="2"/>
      <c r="H59" s="6">
        <v>0</v>
      </c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0</v>
      </c>
      <c r="U59" s="2"/>
      <c r="V59" s="7">
        <f t="shared" si="51"/>
        <v>0</v>
      </c>
      <c r="W59" s="2"/>
      <c r="X59" s="6">
        <f t="shared" si="52"/>
        <v>0</v>
      </c>
      <c r="Y59" s="2"/>
      <c r="Z59" s="7">
        <f t="shared" si="53"/>
        <v>0</v>
      </c>
    </row>
    <row r="60" spans="1:26" s="24" customFormat="1" hidden="1" outlineLevel="2" x14ac:dyDescent="0.25">
      <c r="A60" s="27"/>
      <c r="B60" s="11" t="str">
        <f>CONCATENATE("          ", "6284", " - ", "TRASH REMOVAL EXPENSE")</f>
        <v xml:space="preserve">          6284 - TRASH REMOVAL EXPENSE</v>
      </c>
      <c r="C60" s="11"/>
      <c r="D60" s="6"/>
      <c r="E60" s="2"/>
      <c r="F60" s="7">
        <f t="shared" si="46"/>
        <v>0</v>
      </c>
      <c r="G60" s="2"/>
      <c r="H60" s="6">
        <v>0</v>
      </c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0</v>
      </c>
      <c r="U60" s="2"/>
      <c r="V60" s="7">
        <f t="shared" si="51"/>
        <v>0</v>
      </c>
      <c r="W60" s="2"/>
      <c r="X60" s="6">
        <f t="shared" si="52"/>
        <v>0</v>
      </c>
      <c r="Y60" s="2"/>
      <c r="Z60" s="7">
        <f t="shared" si="53"/>
        <v>0</v>
      </c>
    </row>
    <row r="61" spans="1:26" s="24" customFormat="1" hidden="1" outlineLevel="2" x14ac:dyDescent="0.25">
      <c r="A61" s="27"/>
      <c r="B61" s="11" t="str">
        <f>CONCATENATE("          ", "6285", " - ", "JANITORIAL SERVICES")</f>
        <v xml:space="preserve">          6285 - JANITORIAL SERVICES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7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9" customFormat="1" outlineLevel="1" collapsed="1" x14ac:dyDescent="0.25">
      <c r="A63" s="28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SUM(OSRRefD22_10x_0)</f>
        <v>0</v>
      </c>
      <c r="E63" s="1"/>
      <c r="F63" s="5">
        <f t="shared" ref="F63:F74" si="54">IF(D$12=0,0,D63/D$12)</f>
        <v>0</v>
      </c>
      <c r="G63" s="1"/>
      <c r="H63" s="1">
        <f>SUM(OSRRefH22_10x_0)</f>
        <v>0</v>
      </c>
      <c r="I63" s="1"/>
      <c r="J63" s="5">
        <f t="shared" ref="J63:J74" si="55">IF(H$12=0,0,H63/H$12)</f>
        <v>0</v>
      </c>
      <c r="K63" s="1"/>
      <c r="L63" s="1">
        <f t="shared" ref="L63:L74" si="56">+D63-H63</f>
        <v>0</v>
      </c>
      <c r="M63" s="1"/>
      <c r="N63" s="5">
        <f t="shared" ref="N63:N74" si="57">IF(H63=0,0,L63/H63)</f>
        <v>0</v>
      </c>
      <c r="O63" s="14"/>
      <c r="P63" s="1">
        <f>SUM(OSRRefP22_10x_0)</f>
        <v>0</v>
      </c>
      <c r="Q63" s="1"/>
      <c r="R63" s="5">
        <f t="shared" ref="R63:R74" si="58">IF(P$12=0,0,P63/P$12)</f>
        <v>0</v>
      </c>
      <c r="S63" s="1"/>
      <c r="T63" s="1">
        <f>SUM(OSRRefT22_10x_0)</f>
        <v>0</v>
      </c>
      <c r="U63" s="1"/>
      <c r="V63" s="5">
        <f t="shared" ref="V63:V74" si="59">IF(T$12=0,0,T63/T$12)</f>
        <v>0</v>
      </c>
      <c r="W63" s="1"/>
      <c r="X63" s="1">
        <f t="shared" ref="X63:X74" si="60">+P63-T63</f>
        <v>0</v>
      </c>
      <c r="Y63" s="1"/>
      <c r="Z63" s="5">
        <f t="shared" ref="Z63:Z74" si="61">IF(T63=0,0,X63/T63)</f>
        <v>0</v>
      </c>
    </row>
    <row r="64" spans="1:26" s="24" customFormat="1" hidden="1" outlineLevel="2" x14ac:dyDescent="0.25">
      <c r="A64" s="27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54"/>
        <v>0</v>
      </c>
      <c r="G64" s="2"/>
      <c r="H64" s="6">
        <v>0</v>
      </c>
      <c r="I64" s="2"/>
      <c r="J64" s="7">
        <f t="shared" si="55"/>
        <v>0</v>
      </c>
      <c r="K64" s="2"/>
      <c r="L64" s="6">
        <f t="shared" si="56"/>
        <v>0</v>
      </c>
      <c r="M64" s="2"/>
      <c r="N64" s="7">
        <f t="shared" si="57"/>
        <v>0</v>
      </c>
      <c r="O64" s="11"/>
      <c r="P64" s="6"/>
      <c r="Q64" s="2"/>
      <c r="R64" s="7">
        <f t="shared" si="58"/>
        <v>0</v>
      </c>
      <c r="S64" s="2"/>
      <c r="T64" s="6">
        <v>0</v>
      </c>
      <c r="U64" s="2"/>
      <c r="V64" s="7">
        <f t="shared" si="59"/>
        <v>0</v>
      </c>
      <c r="W64" s="2"/>
      <c r="X64" s="6">
        <f t="shared" si="60"/>
        <v>0</v>
      </c>
      <c r="Y64" s="2"/>
      <c r="Z64" s="7">
        <f t="shared" si="61"/>
        <v>0</v>
      </c>
    </row>
    <row r="65" spans="1:26" s="29" customFormat="1" outlineLevel="1" collapsed="1" x14ac:dyDescent="0.25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SUM(OSRRefD22_11x_0)</f>
        <v>0</v>
      </c>
      <c r="E65" s="1"/>
      <c r="F65" s="5">
        <f t="shared" si="54"/>
        <v>0</v>
      </c>
      <c r="G65" s="1"/>
      <c r="H65" s="1">
        <f>SUM(OSRRefH22_11x_0)</f>
        <v>0</v>
      </c>
      <c r="I65" s="1"/>
      <c r="J65" s="5">
        <f t="shared" si="55"/>
        <v>0</v>
      </c>
      <c r="K65" s="1"/>
      <c r="L65" s="1">
        <f t="shared" si="56"/>
        <v>0</v>
      </c>
      <c r="M65" s="1"/>
      <c r="N65" s="5">
        <f t="shared" si="57"/>
        <v>0</v>
      </c>
      <c r="O65" s="14"/>
      <c r="P65" s="1">
        <f>SUM(OSRRefP22_11x_0)</f>
        <v>0</v>
      </c>
      <c r="Q65" s="1"/>
      <c r="R65" s="5">
        <f t="shared" si="58"/>
        <v>0</v>
      </c>
      <c r="S65" s="1"/>
      <c r="T65" s="1">
        <f>SUM(OSRRefT22_11x_0)</f>
        <v>0</v>
      </c>
      <c r="U65" s="1"/>
      <c r="V65" s="5">
        <f t="shared" si="59"/>
        <v>0</v>
      </c>
      <c r="W65" s="1"/>
      <c r="X65" s="1">
        <f t="shared" si="60"/>
        <v>0</v>
      </c>
      <c r="Y65" s="1"/>
      <c r="Z65" s="5">
        <f t="shared" si="61"/>
        <v>0</v>
      </c>
    </row>
    <row r="66" spans="1:26" s="24" customFormat="1" hidden="1" outlineLevel="2" x14ac:dyDescent="0.25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54"/>
        <v>0</v>
      </c>
      <c r="G67" s="2"/>
      <c r="H67" s="6">
        <v>0</v>
      </c>
      <c r="I67" s="2"/>
      <c r="J67" s="7">
        <f t="shared" si="55"/>
        <v>0</v>
      </c>
      <c r="K67" s="2"/>
      <c r="L67" s="6">
        <f t="shared" si="56"/>
        <v>0</v>
      </c>
      <c r="M67" s="2"/>
      <c r="N67" s="7">
        <f t="shared" si="57"/>
        <v>0</v>
      </c>
      <c r="O67" s="11"/>
      <c r="P67" s="6"/>
      <c r="Q67" s="2"/>
      <c r="R67" s="7">
        <f t="shared" si="58"/>
        <v>0</v>
      </c>
      <c r="S67" s="2"/>
      <c r="T67" s="6">
        <v>0</v>
      </c>
      <c r="U67" s="2"/>
      <c r="V67" s="7">
        <f t="shared" si="59"/>
        <v>0</v>
      </c>
      <c r="W67" s="2"/>
      <c r="X67" s="6">
        <f t="shared" si="60"/>
        <v>0</v>
      </c>
      <c r="Y67" s="2"/>
      <c r="Z67" s="7">
        <f t="shared" si="61"/>
        <v>0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54"/>
        <v>0</v>
      </c>
      <c r="G68" s="2"/>
      <c r="H68" s="6">
        <v>0</v>
      </c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7"/>
      <c r="B71" s="11" t="str">
        <f>CONCATENATE("          ", "6245", " - ", "PRINTING")</f>
        <v xml:space="preserve">          6245 - PRINTING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7"/>
      <c r="B72" s="11" t="str">
        <f>CONCATENATE("          ", "6246", " - ", "REPLACEMENTS")</f>
        <v xml:space="preserve">          6246 - REPLACEMENTS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7"/>
      <c r="B73" s="11" t="str">
        <f>CONCATENATE("          ", "6247", " - ", "STORE SUPPLIES")</f>
        <v xml:space="preserve">          6247 - STORE SUPPLIES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4"/>
        <v>0</v>
      </c>
      <c r="G74" s="2"/>
      <c r="H74" s="6"/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9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46</v>
      </c>
      <c r="E75" s="1"/>
      <c r="F75" s="5">
        <f t="shared" ref="F75:F80" si="62">IF(D$12=0,0,D75/D$12)</f>
        <v>0</v>
      </c>
      <c r="G75" s="1"/>
      <c r="H75" s="1">
        <f>SUM(OSRRefH22_12x_0)</f>
        <v>0</v>
      </c>
      <c r="I75" s="1"/>
      <c r="J75" s="5">
        <f t="shared" ref="J75:J80" si="63">IF(H$12=0,0,H75/H$12)</f>
        <v>0</v>
      </c>
      <c r="K75" s="1"/>
      <c r="L75" s="1">
        <f t="shared" ref="L75:L80" si="64">+D75-H75</f>
        <v>46</v>
      </c>
      <c r="M75" s="1"/>
      <c r="N75" s="5">
        <f t="shared" ref="N75:N80" si="65">IF(H75=0,0,L75/H75)</f>
        <v>0</v>
      </c>
      <c r="O75" s="14"/>
      <c r="P75" s="1">
        <f>SUM(OSRRefP22_12x_0)</f>
        <v>69</v>
      </c>
      <c r="Q75" s="1"/>
      <c r="R75" s="5">
        <f t="shared" ref="R75:R80" si="66">IF(P$12=0,0,P75/P$12)</f>
        <v>0</v>
      </c>
      <c r="S75" s="1"/>
      <c r="T75" s="1">
        <f>SUM(OSRRefT22_12x_0)</f>
        <v>0</v>
      </c>
      <c r="U75" s="1"/>
      <c r="V75" s="5">
        <f t="shared" ref="V75:V80" si="67">IF(T$12=0,0,T75/T$12)</f>
        <v>0</v>
      </c>
      <c r="W75" s="1"/>
      <c r="X75" s="1">
        <f t="shared" ref="X75:X80" si="68">+P75-T75</f>
        <v>69</v>
      </c>
      <c r="Y75" s="1"/>
      <c r="Z75" s="5">
        <f t="shared" ref="Z75:Z80" si="69">IF(T75=0,0,X75/T75)</f>
        <v>0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46</v>
      </c>
      <c r="E76" s="2"/>
      <c r="F76" s="7">
        <f t="shared" si="62"/>
        <v>0</v>
      </c>
      <c r="G76" s="2"/>
      <c r="H76" s="6">
        <v>0</v>
      </c>
      <c r="I76" s="2"/>
      <c r="J76" s="7">
        <f t="shared" si="63"/>
        <v>0</v>
      </c>
      <c r="K76" s="2"/>
      <c r="L76" s="6">
        <f t="shared" si="64"/>
        <v>46</v>
      </c>
      <c r="M76" s="2"/>
      <c r="N76" s="7">
        <f t="shared" si="65"/>
        <v>0</v>
      </c>
      <c r="O76" s="11"/>
      <c r="P76" s="6">
        <v>69</v>
      </c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69</v>
      </c>
      <c r="Y76" s="2"/>
      <c r="Z76" s="7">
        <f t="shared" si="69"/>
        <v>0</v>
      </c>
    </row>
    <row r="77" spans="1:26" s="29" customFormat="1" outlineLevel="1" collapsed="1" x14ac:dyDescent="0.25">
      <c r="A77" s="28"/>
      <c r="B77" s="14" t="str">
        <f>CONCATENATE("     ","Travel                                            ")</f>
        <v xml:space="preserve">     Travel                                            </v>
      </c>
      <c r="C77" s="14"/>
      <c r="D77" s="1">
        <f>SUM(OSRRefD22_13x_0)</f>
        <v>0</v>
      </c>
      <c r="E77" s="1"/>
      <c r="F77" s="5">
        <f t="shared" si="62"/>
        <v>0</v>
      </c>
      <c r="G77" s="1"/>
      <c r="H77" s="1">
        <f>SUM(OSRRefH22_13x_0)</f>
        <v>0</v>
      </c>
      <c r="I77" s="1"/>
      <c r="J77" s="5">
        <f t="shared" si="63"/>
        <v>0</v>
      </c>
      <c r="K77" s="1"/>
      <c r="L77" s="1">
        <f t="shared" si="64"/>
        <v>0</v>
      </c>
      <c r="M77" s="1"/>
      <c r="N77" s="5">
        <f t="shared" si="65"/>
        <v>0</v>
      </c>
      <c r="O77" s="14"/>
      <c r="P77" s="1">
        <f>SUM(OSRRefP22_13x_0)</f>
        <v>0</v>
      </c>
      <c r="Q77" s="1"/>
      <c r="R77" s="5">
        <f t="shared" si="66"/>
        <v>0</v>
      </c>
      <c r="S77" s="1"/>
      <c r="T77" s="1">
        <f>SUM(OSRRefT22_13x_0)</f>
        <v>0</v>
      </c>
      <c r="U77" s="1"/>
      <c r="V77" s="5">
        <f t="shared" si="67"/>
        <v>0</v>
      </c>
      <c r="W77" s="1"/>
      <c r="X77" s="1">
        <f t="shared" si="68"/>
        <v>0</v>
      </c>
      <c r="Y77" s="1"/>
      <c r="Z77" s="5">
        <f t="shared" si="69"/>
        <v>0</v>
      </c>
    </row>
    <row r="78" spans="1:26" s="24" customFormat="1" hidden="1" outlineLevel="2" x14ac:dyDescent="0.25">
      <c r="A78" s="27"/>
      <c r="B78" s="11" t="str">
        <f>CONCATENATE("          ", "6292", " - ", "TRAVEL/CONFERENCE")</f>
        <v xml:space="preserve">          6292 - TRAVEL/CONFERENCE</v>
      </c>
      <c r="C78" s="11"/>
      <c r="D78" s="6"/>
      <c r="E78" s="2"/>
      <c r="F78" s="7">
        <f t="shared" si="62"/>
        <v>0</v>
      </c>
      <c r="G78" s="2"/>
      <c r="H78" s="6"/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/>
      <c r="Q78" s="2"/>
      <c r="R78" s="7">
        <f t="shared" si="66"/>
        <v>0</v>
      </c>
      <c r="S78" s="2"/>
      <c r="T78" s="6">
        <v>0</v>
      </c>
      <c r="U78" s="2"/>
      <c r="V78" s="7">
        <f t="shared" si="67"/>
        <v>0</v>
      </c>
      <c r="W78" s="2"/>
      <c r="X78" s="6">
        <f t="shared" si="68"/>
        <v>0</v>
      </c>
      <c r="Y78" s="2"/>
      <c r="Z78" s="7">
        <f t="shared" si="69"/>
        <v>0</v>
      </c>
    </row>
    <row r="79" spans="1:26" s="29" customFormat="1" outlineLevel="1" collapsed="1" x14ac:dyDescent="0.25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SUM(OSRRefD22_14x_0)</f>
        <v>0</v>
      </c>
      <c r="E79" s="1"/>
      <c r="F79" s="5">
        <f t="shared" si="62"/>
        <v>0</v>
      </c>
      <c r="G79" s="1"/>
      <c r="H79" s="1">
        <f>SUM(OSRRefH22_14x_0)</f>
        <v>0</v>
      </c>
      <c r="I79" s="1"/>
      <c r="J79" s="5">
        <f t="shared" si="63"/>
        <v>0</v>
      </c>
      <c r="K79" s="1"/>
      <c r="L79" s="1">
        <f t="shared" si="64"/>
        <v>0</v>
      </c>
      <c r="M79" s="1"/>
      <c r="N79" s="5">
        <f t="shared" si="65"/>
        <v>0</v>
      </c>
      <c r="O79" s="14"/>
      <c r="P79" s="1">
        <f>SUM(OSRRefP22_14x_0)</f>
        <v>0</v>
      </c>
      <c r="Q79" s="1"/>
      <c r="R79" s="5">
        <f t="shared" si="66"/>
        <v>0</v>
      </c>
      <c r="S79" s="1"/>
      <c r="T79" s="1">
        <f>SUM(OSRRefT22_14x_0)</f>
        <v>0</v>
      </c>
      <c r="U79" s="1"/>
      <c r="V79" s="5">
        <f t="shared" si="67"/>
        <v>0</v>
      </c>
      <c r="W79" s="1"/>
      <c r="X79" s="1">
        <f t="shared" si="68"/>
        <v>0</v>
      </c>
      <c r="Y79" s="1"/>
      <c r="Z79" s="5">
        <f t="shared" si="69"/>
        <v>0</v>
      </c>
    </row>
    <row r="80" spans="1:26" s="24" customFormat="1" hidden="1" outlineLevel="2" x14ac:dyDescent="0.25">
      <c r="A80" s="27"/>
      <c r="B80" s="11" t="str">
        <f>CONCATENATE("          ", "6274", " - ", "UTILITIES")</f>
        <v xml:space="preserve">          6274 - UTILITIES</v>
      </c>
      <c r="C80" s="11"/>
      <c r="D80" s="6"/>
      <c r="E80" s="2"/>
      <c r="F80" s="7">
        <f t="shared" si="62"/>
        <v>0</v>
      </c>
      <c r="G80" s="2"/>
      <c r="H80" s="6">
        <v>0</v>
      </c>
      <c r="I80" s="2"/>
      <c r="J80" s="7">
        <f t="shared" si="63"/>
        <v>0</v>
      </c>
      <c r="K80" s="2"/>
      <c r="L80" s="6">
        <f t="shared" si="64"/>
        <v>0</v>
      </c>
      <c r="M80" s="2"/>
      <c r="N80" s="7">
        <f t="shared" si="65"/>
        <v>0</v>
      </c>
      <c r="O80" s="11"/>
      <c r="P80" s="6"/>
      <c r="Q80" s="2"/>
      <c r="R80" s="7">
        <f t="shared" si="66"/>
        <v>0</v>
      </c>
      <c r="S80" s="2"/>
      <c r="T80" s="6">
        <v>0</v>
      </c>
      <c r="U80" s="2"/>
      <c r="V80" s="7">
        <f t="shared" si="67"/>
        <v>0</v>
      </c>
      <c r="W80" s="2"/>
      <c r="X80" s="6">
        <f t="shared" si="68"/>
        <v>0</v>
      </c>
      <c r="Y80" s="2"/>
      <c r="Z80" s="7">
        <f t="shared" si="69"/>
        <v>0</v>
      </c>
    </row>
    <row r="81" spans="1:26" s="61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2" customFormat="1" x14ac:dyDescent="0.25">
      <c r="A82" s="10"/>
      <c r="B82" s="25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2" customFormat="1" x14ac:dyDescent="0.25">
      <c r="A84" s="10"/>
      <c r="B84" s="26" t="s">
        <v>3</v>
      </c>
      <c r="C84" s="26"/>
      <c r="D84" s="21">
        <f>+D19-D21+D82</f>
        <v>-4682.1000000000004</v>
      </c>
      <c r="E84" s="13"/>
      <c r="F84" s="20">
        <f>IF(D$12=0,0,D84/D$12)</f>
        <v>0</v>
      </c>
      <c r="G84" s="13"/>
      <c r="H84" s="21">
        <f>+H19-H21+H82</f>
        <v>-7481.333333333333</v>
      </c>
      <c r="I84" s="13"/>
      <c r="J84" s="20">
        <f>IF(H$12=0,0,H84/H$12)</f>
        <v>0</v>
      </c>
      <c r="K84" s="16"/>
      <c r="L84" s="21">
        <f>+D84-H84</f>
        <v>2799.2333333333327</v>
      </c>
      <c r="M84" s="16"/>
      <c r="N84" s="20">
        <f>IF(H84=0,0,L84/H84)</f>
        <v>-0.37416235965068606</v>
      </c>
      <c r="O84" s="25"/>
      <c r="P84" s="21">
        <f>+P19-P21+P82</f>
        <v>-11149.7</v>
      </c>
      <c r="Q84" s="13"/>
      <c r="R84" s="20">
        <f>IF(P$12=0,0,P84/P$12)</f>
        <v>0</v>
      </c>
      <c r="S84" s="13"/>
      <c r="T84" s="21">
        <f>+T19-T21+T82</f>
        <v>-14962.666666666666</v>
      </c>
      <c r="U84" s="13"/>
      <c r="V84" s="20">
        <f>IF(T$12=0,0,T84/T$12)</f>
        <v>0</v>
      </c>
      <c r="W84" s="16"/>
      <c r="X84" s="21">
        <f>+P84-T84</f>
        <v>3812.9666666666653</v>
      </c>
      <c r="Y84" s="16"/>
      <c r="Z84" s="20">
        <f>IF(T84=0,0,X84/T84)</f>
        <v>-0.25483202637675983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2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2" customFormat="1" ht="15.75" thickBot="1" x14ac:dyDescent="0.3">
      <c r="A88" s="10"/>
      <c r="B88" s="26" t="s">
        <v>4</v>
      </c>
      <c r="C88" s="26"/>
      <c r="D88" s="33">
        <f>+D84-D86</f>
        <v>-4682.1000000000004</v>
      </c>
      <c r="E88" s="13"/>
      <c r="F88" s="31">
        <f>IF(D$12=0,0,D88/D$12)</f>
        <v>0</v>
      </c>
      <c r="G88" s="13"/>
      <c r="H88" s="33">
        <f>+H84-H86</f>
        <v>-7481.333333333333</v>
      </c>
      <c r="I88" s="13"/>
      <c r="J88" s="31">
        <f>IF(H$12=0,0,H88/H$12)</f>
        <v>0</v>
      </c>
      <c r="K88" s="16"/>
      <c r="L88" s="33">
        <f>D88-H88</f>
        <v>2799.2333333333327</v>
      </c>
      <c r="M88" s="16"/>
      <c r="N88" s="31">
        <f>IF(H88=0,0,L88/H88)</f>
        <v>-0.37416235965068606</v>
      </c>
      <c r="O88" s="25"/>
      <c r="P88" s="33">
        <f>+P84-P86</f>
        <v>-11149.7</v>
      </c>
      <c r="Q88" s="13"/>
      <c r="R88" s="31">
        <f>IF(P$12=0,0,P88/P$12)</f>
        <v>0</v>
      </c>
      <c r="S88" s="13"/>
      <c r="T88" s="33">
        <f>+T84-T86</f>
        <v>-14962.666666666666</v>
      </c>
      <c r="U88" s="13"/>
      <c r="V88" s="31">
        <f>IF(T$12=0,0,T88/T$12)</f>
        <v>0</v>
      </c>
      <c r="W88" s="16"/>
      <c r="X88" s="33">
        <f>P88-T88</f>
        <v>3812.9666666666653</v>
      </c>
      <c r="Y88" s="16"/>
      <c r="Z88" s="31">
        <f>IF(T88=0,0,X88/T88)</f>
        <v>-0.25483202637675983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2" customFormat="1" ht="15.75" thickBot="1" x14ac:dyDescent="0.3">
      <c r="A91" s="10"/>
      <c r="B91" s="26" t="s">
        <v>5</v>
      </c>
      <c r="C91" s="26"/>
      <c r="D91" s="32">
        <f>SUM(D88:D90)</f>
        <v>-4682.1000000000004</v>
      </c>
      <c r="E91" s="13"/>
      <c r="F91" s="35">
        <f>IF(D$12=0,0,D91/D$12)</f>
        <v>0</v>
      </c>
      <c r="G91" s="13"/>
      <c r="H91" s="32">
        <f>SUM(H88:H90)</f>
        <v>-7481.333333333333</v>
      </c>
      <c r="I91" s="13"/>
      <c r="J91" s="35">
        <f>IF(H$12=0,0,H91/H$12)</f>
        <v>0</v>
      </c>
      <c r="K91" s="16"/>
      <c r="L91" s="32">
        <f>+D91-H91</f>
        <v>2799.2333333333327</v>
      </c>
      <c r="M91" s="16"/>
      <c r="N91" s="35">
        <f>IF(H91=0,0,L91/H91)</f>
        <v>-0.37416235965068606</v>
      </c>
      <c r="O91" s="25"/>
      <c r="P91" s="32">
        <f>SUM(P88:P90)</f>
        <v>-11149.7</v>
      </c>
      <c r="Q91" s="13"/>
      <c r="R91" s="35">
        <f>IF(P$12=0,0,P91/P$12)</f>
        <v>0</v>
      </c>
      <c r="S91" s="13"/>
      <c r="T91" s="32">
        <f>SUM(T88:T90)</f>
        <v>-14962.666666666666</v>
      </c>
      <c r="U91" s="13"/>
      <c r="V91" s="35">
        <f>IF(T$12=0,0,T91/T$12)</f>
        <v>0</v>
      </c>
      <c r="W91" s="16"/>
      <c r="X91" s="32">
        <f>+P91-T91</f>
        <v>3812.9666666666653</v>
      </c>
      <c r="Y91" s="16"/>
      <c r="Z91" s="35">
        <f>IF(T91=0,0,X91/T91)</f>
        <v>-0.25483202637675983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>
        <v>44113.689754664352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","406", " - ", "OPA! Greek")</f>
        <v>Department 406 - OPA! Greek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234.14999999999998</v>
      </c>
      <c r="E18" s="19"/>
      <c r="F18" s="30">
        <f t="shared" ref="F18:F28" si="0">IF(D$12=0,0,D18/D$12)</f>
        <v>0</v>
      </c>
      <c r="G18" s="19"/>
      <c r="H18" s="19">
        <f>SUM(OSRRefH22x_0)</f>
        <v>435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-200.85000000000002</v>
      </c>
      <c r="M18" s="4"/>
      <c r="N18" s="30">
        <f t="shared" ref="N18:N28" si="3">IF(H18=0,0,L18/H18)</f>
        <v>-0.46172413793103456</v>
      </c>
      <c r="O18" s="10"/>
      <c r="P18" s="19">
        <f>SUM(OSRRefP22x_0)</f>
        <v>1114.52</v>
      </c>
      <c r="Q18" s="19"/>
      <c r="R18" s="30">
        <f t="shared" ref="R18:R28" si="4">IF(P$12=0,0,P18/P$12)</f>
        <v>0</v>
      </c>
      <c r="S18" s="19"/>
      <c r="T18" s="19">
        <f>SUM(OSRRefT22x_0)</f>
        <v>870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244.51999999999998</v>
      </c>
      <c r="Y18" s="4"/>
      <c r="Z18" s="30">
        <f t="shared" ref="Z18:Z28" si="7">IF(T18=0,0,X18/T18)</f>
        <v>0.28105747126436781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660.8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660.8</v>
      </c>
      <c r="Y20" s="2"/>
      <c r="Z20" s="7">
        <f t="shared" si="7"/>
        <v>0</v>
      </c>
    </row>
    <row r="21" spans="1:26" s="29" customFormat="1" outlineLevel="1" collapsed="1" x14ac:dyDescent="0.25">
      <c r="A21" s="28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239.1</v>
      </c>
      <c r="Q21" s="1"/>
      <c r="R21" s="5">
        <f t="shared" si="4"/>
        <v>0</v>
      </c>
      <c r="S21" s="1"/>
      <c r="T21" s="1">
        <f>SUM(OSRRefT22_1x_0)</f>
        <v>870</v>
      </c>
      <c r="U21" s="1"/>
      <c r="V21" s="5">
        <f t="shared" si="5"/>
        <v>0</v>
      </c>
      <c r="W21" s="1"/>
      <c r="X21" s="1">
        <f t="shared" si="6"/>
        <v>-630.9</v>
      </c>
      <c r="Y21" s="1"/>
      <c r="Z21" s="5">
        <f t="shared" si="7"/>
        <v>-0.72517241379310338</v>
      </c>
    </row>
    <row r="22" spans="1:26" s="24" customFormat="1" hidden="1" outlineLevel="2" x14ac:dyDescent="0.25">
      <c r="A22" s="27"/>
      <c r="B22" s="11" t="str">
        <f>CONCATENATE("          ", "6322", " - ", "EQUIPMENT DEPRECIATION EXPENSE")</f>
        <v xml:space="preserve">          6322 - EQUIPMENT DEPRECIATION EXPENSE</v>
      </c>
      <c r="C22" s="11"/>
      <c r="D22" s="6">
        <v>119.55</v>
      </c>
      <c r="E22" s="2"/>
      <c r="F22" s="7">
        <f t="shared" si="0"/>
        <v>0</v>
      </c>
      <c r="G22" s="2"/>
      <c r="H22" s="6">
        <v>435</v>
      </c>
      <c r="I22" s="2"/>
      <c r="J22" s="7">
        <f t="shared" si="1"/>
        <v>0</v>
      </c>
      <c r="K22" s="2"/>
      <c r="L22" s="6">
        <f t="shared" si="2"/>
        <v>-315.45</v>
      </c>
      <c r="M22" s="2"/>
      <c r="N22" s="7">
        <f t="shared" si="3"/>
        <v>-0.72517241379310338</v>
      </c>
      <c r="O22" s="11"/>
      <c r="P22" s="6">
        <v>239.1</v>
      </c>
      <c r="Q22" s="2"/>
      <c r="R22" s="7">
        <f t="shared" si="4"/>
        <v>0</v>
      </c>
      <c r="S22" s="2"/>
      <c r="T22" s="6">
        <v>870</v>
      </c>
      <c r="U22" s="2"/>
      <c r="V22" s="7">
        <f t="shared" si="5"/>
        <v>0</v>
      </c>
      <c r="W22" s="2"/>
      <c r="X22" s="6">
        <f t="shared" si="6"/>
        <v>-630.9</v>
      </c>
      <c r="Y22" s="2"/>
      <c r="Z22" s="7">
        <f t="shared" si="7"/>
        <v>-0.72517241379310338</v>
      </c>
    </row>
    <row r="23" spans="1:26" s="29" customFormat="1" outlineLevel="1" collapsed="1" x14ac:dyDescent="0.25">
      <c r="A23" s="28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64.02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64.02</v>
      </c>
      <c r="Y24" s="2"/>
      <c r="Z24" s="7">
        <f t="shared" si="7"/>
        <v>0</v>
      </c>
    </row>
    <row r="25" spans="1:26" s="29" customFormat="1" outlineLevel="1" collapsed="1" x14ac:dyDescent="0.25">
      <c r="A25" s="28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78.599999999999994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78.599999999999994</v>
      </c>
      <c r="M25" s="1"/>
      <c r="N25" s="5">
        <f t="shared" si="3"/>
        <v>0</v>
      </c>
      <c r="O25" s="14"/>
      <c r="P25" s="1">
        <f>SUM(OSRRefP22_3x_0)</f>
        <v>78.599999999999994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78.599999999999994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1" t="str">
        <f>CONCATENATE("          ", "6373", " - ", "MAINTENANCE CONTRACTS")</f>
        <v xml:space="preserve">          6373 - MAINTENANCE CONTRACTS</v>
      </c>
      <c r="C26" s="11"/>
      <c r="D26" s="6">
        <v>78.599999999999994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78.599999999999994</v>
      </c>
      <c r="M26" s="2"/>
      <c r="N26" s="7">
        <f t="shared" si="3"/>
        <v>0</v>
      </c>
      <c r="O26" s="11"/>
      <c r="P26" s="6">
        <v>78.599999999999994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78.599999999999994</v>
      </c>
      <c r="Y26" s="2"/>
      <c r="Z26" s="7">
        <f t="shared" si="7"/>
        <v>0</v>
      </c>
    </row>
    <row r="27" spans="1:26" s="29" customFormat="1" outlineLevel="1" collapsed="1" x14ac:dyDescent="0.25">
      <c r="A27" s="28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36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36</v>
      </c>
      <c r="M27" s="1"/>
      <c r="N27" s="5">
        <f t="shared" si="3"/>
        <v>0</v>
      </c>
      <c r="O27" s="14"/>
      <c r="P27" s="1">
        <f>SUM(OSRRefP22_4x_0)</f>
        <v>72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72</v>
      </c>
      <c r="Y27" s="1"/>
      <c r="Z27" s="5">
        <f t="shared" si="7"/>
        <v>0</v>
      </c>
    </row>
    <row r="28" spans="1:26" s="24" customFormat="1" hidden="1" outlineLevel="2" x14ac:dyDescent="0.25">
      <c r="A28" s="27"/>
      <c r="B28" s="11" t="str">
        <f>CONCATENATE("          ", "6309", " - ", "TELEPHONE")</f>
        <v xml:space="preserve">          6309 - TELEPHONE</v>
      </c>
      <c r="C28" s="11"/>
      <c r="D28" s="6">
        <v>36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36</v>
      </c>
      <c r="M28" s="2"/>
      <c r="N28" s="7">
        <f t="shared" si="3"/>
        <v>0</v>
      </c>
      <c r="O28" s="11"/>
      <c r="P28" s="6">
        <v>72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72</v>
      </c>
      <c r="Y28" s="2"/>
      <c r="Z28" s="7">
        <f t="shared" si="7"/>
        <v>0</v>
      </c>
    </row>
    <row r="29" spans="1:26" s="61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2" customFormat="1" x14ac:dyDescent="0.25">
      <c r="A30" s="10"/>
      <c r="B30" s="25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2" customFormat="1" x14ac:dyDescent="0.25">
      <c r="A32" s="10"/>
      <c r="B32" s="26" t="s">
        <v>3</v>
      </c>
      <c r="C32" s="26"/>
      <c r="D32" s="21">
        <f>+D16-D18+D30</f>
        <v>-234.14999999999998</v>
      </c>
      <c r="E32" s="13"/>
      <c r="F32" s="20">
        <f>IF(D$12=0,0,D32/D$12)</f>
        <v>0</v>
      </c>
      <c r="G32" s="13"/>
      <c r="H32" s="21">
        <f>+H16-H18+H30</f>
        <v>-435</v>
      </c>
      <c r="I32" s="13"/>
      <c r="J32" s="20">
        <f>IF(H$12=0,0,H32/H$12)</f>
        <v>0</v>
      </c>
      <c r="K32" s="16"/>
      <c r="L32" s="21">
        <f>+D32-H32</f>
        <v>200.85000000000002</v>
      </c>
      <c r="M32" s="16"/>
      <c r="N32" s="20">
        <f>IF(H32=0,0,L32/H32)</f>
        <v>-0.46172413793103456</v>
      </c>
      <c r="O32" s="25"/>
      <c r="P32" s="21">
        <f>+P16-P18+P30</f>
        <v>-1114.52</v>
      </c>
      <c r="Q32" s="13"/>
      <c r="R32" s="20">
        <f>IF(P$12=0,0,P32/P$12)</f>
        <v>0</v>
      </c>
      <c r="S32" s="13"/>
      <c r="T32" s="21">
        <f>+T16-T18+T30</f>
        <v>-870</v>
      </c>
      <c r="U32" s="13"/>
      <c r="V32" s="20">
        <f>IF(T$12=0,0,T32/T$12)</f>
        <v>0</v>
      </c>
      <c r="W32" s="16"/>
      <c r="X32" s="21">
        <f>+P32-T32</f>
        <v>-244.51999999999998</v>
      </c>
      <c r="Y32" s="16"/>
      <c r="Z32" s="20">
        <f>IF(T32=0,0,X32/T32)</f>
        <v>0.28105747126436781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2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4</v>
      </c>
      <c r="C36" s="26"/>
      <c r="D36" s="33">
        <f>+D32-D34</f>
        <v>-234.14999999999998</v>
      </c>
      <c r="E36" s="13"/>
      <c r="F36" s="31">
        <f>IF(D$12=0,0,D36/D$12)</f>
        <v>0</v>
      </c>
      <c r="G36" s="13"/>
      <c r="H36" s="33">
        <f>+H32-H34</f>
        <v>-435</v>
      </c>
      <c r="I36" s="13"/>
      <c r="J36" s="31">
        <f>IF(H$12=0,0,H36/H$12)</f>
        <v>0</v>
      </c>
      <c r="K36" s="16"/>
      <c r="L36" s="33">
        <f>D36-H36</f>
        <v>200.85000000000002</v>
      </c>
      <c r="M36" s="16"/>
      <c r="N36" s="31">
        <f>IF(H36=0,0,L36/H36)</f>
        <v>-0.46172413793103456</v>
      </c>
      <c r="O36" s="25"/>
      <c r="P36" s="33">
        <f>+P32-P34</f>
        <v>-1114.52</v>
      </c>
      <c r="Q36" s="13"/>
      <c r="R36" s="31">
        <f>IF(P$12=0,0,P36/P$12)</f>
        <v>0</v>
      </c>
      <c r="S36" s="13"/>
      <c r="T36" s="33">
        <f>+T32-T34</f>
        <v>-870</v>
      </c>
      <c r="U36" s="13"/>
      <c r="V36" s="31">
        <f>IF(T$12=0,0,T36/T$12)</f>
        <v>0</v>
      </c>
      <c r="W36" s="16"/>
      <c r="X36" s="33">
        <f>P36-T36</f>
        <v>-244.51999999999998</v>
      </c>
      <c r="Y36" s="16"/>
      <c r="Z36" s="31">
        <f>IF(T36=0,0,X36/T36)</f>
        <v>0.28105747126436781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2" customFormat="1" ht="15.75" thickBot="1" x14ac:dyDescent="0.3">
      <c r="A39" s="10"/>
      <c r="B39" s="26" t="s">
        <v>5</v>
      </c>
      <c r="C39" s="26"/>
      <c r="D39" s="32">
        <f>SUM(D36:D38)</f>
        <v>-234.14999999999998</v>
      </c>
      <c r="E39" s="13"/>
      <c r="F39" s="35">
        <f>IF(D$12=0,0,D39/D$12)</f>
        <v>0</v>
      </c>
      <c r="G39" s="13"/>
      <c r="H39" s="32">
        <f>SUM(H36:H38)</f>
        <v>-435</v>
      </c>
      <c r="I39" s="13"/>
      <c r="J39" s="35">
        <f>IF(H$12=0,0,H39/H$12)</f>
        <v>0</v>
      </c>
      <c r="K39" s="16"/>
      <c r="L39" s="32">
        <f>+D39-H39</f>
        <v>200.85000000000002</v>
      </c>
      <c r="M39" s="16"/>
      <c r="N39" s="35">
        <f>IF(H39=0,0,L39/H39)</f>
        <v>-0.46172413793103456</v>
      </c>
      <c r="O39" s="25"/>
      <c r="P39" s="32">
        <f>SUM(P36:P38)</f>
        <v>-1114.52</v>
      </c>
      <c r="Q39" s="13"/>
      <c r="R39" s="35">
        <f>IF(P$12=0,0,P39/P$12)</f>
        <v>0</v>
      </c>
      <c r="S39" s="13"/>
      <c r="T39" s="32">
        <f>SUM(T36:T38)</f>
        <v>-870</v>
      </c>
      <c r="U39" s="13"/>
      <c r="V39" s="35">
        <f>IF(T$12=0,0,T39/T$12)</f>
        <v>0</v>
      </c>
      <c r="W39" s="16"/>
      <c r="X39" s="32">
        <f>+P39-T39</f>
        <v>-244.51999999999998</v>
      </c>
      <c r="Y39" s="16"/>
      <c r="Z39" s="35">
        <f>IF(T39=0,0,X39/T39)</f>
        <v>0.28105747126436781</v>
      </c>
    </row>
    <row r="40" spans="1:26" ht="15.75" thickTop="1" x14ac:dyDescent="0.25">
      <c r="A40" s="9"/>
      <c r="C40" s="9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9">
        <v>44113.689771990743</v>
      </c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A42" s="9"/>
      <c r="B42" s="62" t="s">
        <v>314</v>
      </c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  <row r="43" spans="1:26" x14ac:dyDescent="0.25">
      <c r="A43" s="9"/>
      <c r="B43" s="63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","411", " - ", "University Dining")</f>
        <v>Department 411 - University Dining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-329.99999999999926</v>
      </c>
      <c r="E18" s="19"/>
      <c r="F18" s="30">
        <f t="shared" ref="F18:F28" si="0">IF(D$12=0,0,D18/D$12)</f>
        <v>0</v>
      </c>
      <c r="G18" s="19"/>
      <c r="H18" s="19">
        <f>SUM(OSRRefH22x_0)</f>
        <v>17155.461538461539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-17485.461538461539</v>
      </c>
      <c r="M18" s="4"/>
      <c r="N18" s="30">
        <f t="shared" ref="N18:N28" si="3">IF(H18=0,0,L18/H18)</f>
        <v>-1.0192358567130451</v>
      </c>
      <c r="O18" s="10"/>
      <c r="P18" s="19">
        <f>SUM(OSRRefP22x_0)</f>
        <v>30322.209999999992</v>
      </c>
      <c r="Q18" s="19"/>
      <c r="R18" s="30">
        <f t="shared" ref="R18:R28" si="4">IF(P$12=0,0,P18/P$12)</f>
        <v>0</v>
      </c>
      <c r="S18" s="19"/>
      <c r="T18" s="19">
        <f>SUM(OSRRefT22x_0)</f>
        <v>34230.538461538461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-3908.3284615384691</v>
      </c>
      <c r="Y18" s="4"/>
      <c r="Z18" s="30">
        <f t="shared" ref="Z18:Z28" si="7">IF(T18=0,0,X18/T18)</f>
        <v>-0.11417665737072408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5680.1500000000005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2666.6884615384606</v>
      </c>
      <c r="M19" s="1"/>
      <c r="N19" s="5">
        <f t="shared" si="3"/>
        <v>0.88492533503509818</v>
      </c>
      <c r="O19" s="14"/>
      <c r="P19" s="1">
        <f>SUM(OSRRefP22_0x_0)</f>
        <v>11058.539999999999</v>
      </c>
      <c r="Q19" s="1"/>
      <c r="R19" s="5">
        <f t="shared" si="4"/>
        <v>0</v>
      </c>
      <c r="S19" s="1"/>
      <c r="T19" s="1">
        <f>SUM(OSRRefT22_0x_0)</f>
        <v>6346.5384615384601</v>
      </c>
      <c r="U19" s="1"/>
      <c r="V19" s="5">
        <f t="shared" si="5"/>
        <v>0</v>
      </c>
      <c r="W19" s="1"/>
      <c r="X19" s="1">
        <f t="shared" si="6"/>
        <v>4712.001538461539</v>
      </c>
      <c r="Y19" s="1"/>
      <c r="Z19" s="5">
        <f t="shared" si="7"/>
        <v>0.74245221501727199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846.8</v>
      </c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846.8</v>
      </c>
      <c r="M20" s="2"/>
      <c r="N20" s="7">
        <f t="shared" si="3"/>
        <v>0</v>
      </c>
      <c r="O20" s="11"/>
      <c r="P20" s="6">
        <v>1852.72</v>
      </c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1852.72</v>
      </c>
      <c r="Y20" s="2"/>
      <c r="Z20" s="7">
        <f t="shared" si="7"/>
        <v>0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36.53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36.53</v>
      </c>
      <c r="M21" s="2"/>
      <c r="N21" s="7">
        <f t="shared" si="3"/>
        <v>0</v>
      </c>
      <c r="O21" s="11"/>
      <c r="P21" s="6">
        <v>162.29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162.29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1950.75</v>
      </c>
      <c r="E22" s="2"/>
      <c r="F22" s="7">
        <f t="shared" si="0"/>
        <v>0</v>
      </c>
      <c r="G22" s="2"/>
      <c r="H22" s="6">
        <v>2663.4615384615399</v>
      </c>
      <c r="I22" s="2"/>
      <c r="J22" s="7">
        <f t="shared" si="1"/>
        <v>0</v>
      </c>
      <c r="K22" s="2"/>
      <c r="L22" s="6">
        <f t="shared" si="2"/>
        <v>-712.71153846153993</v>
      </c>
      <c r="M22" s="2"/>
      <c r="N22" s="7">
        <f t="shared" si="3"/>
        <v>-0.26758844765342998</v>
      </c>
      <c r="O22" s="11"/>
      <c r="P22" s="6">
        <v>2767.47</v>
      </c>
      <c r="Q22" s="2"/>
      <c r="R22" s="7">
        <f t="shared" si="4"/>
        <v>0</v>
      </c>
      <c r="S22" s="2"/>
      <c r="T22" s="6">
        <v>5646.5384615384601</v>
      </c>
      <c r="U22" s="2"/>
      <c r="V22" s="7">
        <f t="shared" si="5"/>
        <v>0</v>
      </c>
      <c r="W22" s="2"/>
      <c r="X22" s="6">
        <f t="shared" si="6"/>
        <v>-2879.0684615384603</v>
      </c>
      <c r="Y22" s="2"/>
      <c r="Z22" s="7">
        <f t="shared" si="7"/>
        <v>-0.50988202438525976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28.78</v>
      </c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28.78</v>
      </c>
      <c r="M23" s="2"/>
      <c r="N23" s="7">
        <f t="shared" si="3"/>
        <v>0</v>
      </c>
      <c r="O23" s="11"/>
      <c r="P23" s="6">
        <v>62.97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62.97</v>
      </c>
      <c r="Y23" s="2"/>
      <c r="Z23" s="7">
        <f t="shared" si="7"/>
        <v>0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1221.05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1221.05</v>
      </c>
      <c r="M24" s="2"/>
      <c r="N24" s="7">
        <f t="shared" si="3"/>
        <v>0</v>
      </c>
      <c r="O24" s="11"/>
      <c r="P24" s="6">
        <v>2763.67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2763.67</v>
      </c>
      <c r="Y24" s="2"/>
      <c r="Z24" s="7">
        <f t="shared" si="7"/>
        <v>0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1022.52</v>
      </c>
      <c r="M26" s="2"/>
      <c r="N26" s="7">
        <f t="shared" si="3"/>
        <v>0</v>
      </c>
      <c r="O26" s="11"/>
      <c r="P26" s="6">
        <v>2237.1799999999998</v>
      </c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2237.1799999999998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510.58</v>
      </c>
      <c r="M27" s="2"/>
      <c r="N27" s="7">
        <f t="shared" si="3"/>
        <v>0</v>
      </c>
      <c r="O27" s="11"/>
      <c r="P27" s="6">
        <v>1117.0999999999999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1117.0999999999999</v>
      </c>
      <c r="Y27" s="2"/>
      <c r="Z27" s="7">
        <f t="shared" si="7"/>
        <v>0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63.14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-286.86</v>
      </c>
      <c r="M28" s="2"/>
      <c r="N28" s="7">
        <f t="shared" si="3"/>
        <v>-0.8196</v>
      </c>
      <c r="O28" s="11"/>
      <c r="P28" s="6">
        <v>95.14</v>
      </c>
      <c r="Q28" s="2"/>
      <c r="R28" s="7">
        <f t="shared" si="4"/>
        <v>0</v>
      </c>
      <c r="S28" s="2"/>
      <c r="T28" s="6">
        <v>700</v>
      </c>
      <c r="U28" s="2"/>
      <c r="V28" s="7">
        <f t="shared" si="5"/>
        <v>0</v>
      </c>
      <c r="W28" s="2"/>
      <c r="X28" s="6">
        <f t="shared" si="6"/>
        <v>-604.86</v>
      </c>
      <c r="Y28" s="2"/>
      <c r="Z28" s="7">
        <f t="shared" si="7"/>
        <v>-0.86408571428571435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11069.28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11069.28</v>
      </c>
      <c r="M29" s="1"/>
      <c r="N29" s="5">
        <f t="shared" ref="N29:N39" si="11">IF(H29=0,0,L29/H29)</f>
        <v>0</v>
      </c>
      <c r="O29" s="14"/>
      <c r="P29" s="1">
        <f>SUM(OSRRefP22_1x_0)</f>
        <v>24356.609999999997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24356.609999999997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11069.28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11069.28</v>
      </c>
      <c r="M30" s="2"/>
      <c r="N30" s="7">
        <f t="shared" si="11"/>
        <v>0</v>
      </c>
      <c r="O30" s="11"/>
      <c r="P30" s="6">
        <v>22276.609999999997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22276.609999999997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2080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2080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9" customFormat="1" outlineLevel="1" collapsed="1" x14ac:dyDescent="0.25">
      <c r="A42" s="28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331.81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331.81</v>
      </c>
      <c r="M42" s="1"/>
      <c r="N42" s="5">
        <f t="shared" si="19"/>
        <v>0</v>
      </c>
      <c r="O42" s="14"/>
      <c r="P42" s="1">
        <f>SUM(OSRRefP22_3x_0)</f>
        <v>614.63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614.63</v>
      </c>
      <c r="Y42" s="1"/>
      <c r="Z42" s="5">
        <f t="shared" si="23"/>
        <v>0</v>
      </c>
    </row>
    <row r="43" spans="1:26" s="24" customFormat="1" hidden="1" outlineLevel="2" x14ac:dyDescent="0.25">
      <c r="A43" s="27"/>
      <c r="B43" s="11" t="str">
        <f>CONCATENATE("          ", "6381", " - ", "BANK/CREDIT CARD FEES")</f>
        <v xml:space="preserve">          6381 - BANK/CREDIT CARD FEES</v>
      </c>
      <c r="C43" s="11"/>
      <c r="D43" s="6">
        <v>331.81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331.81</v>
      </c>
      <c r="M43" s="2"/>
      <c r="N43" s="7">
        <f t="shared" si="19"/>
        <v>0</v>
      </c>
      <c r="O43" s="11"/>
      <c r="P43" s="6">
        <v>614.63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614.63</v>
      </c>
      <c r="Y43" s="2"/>
      <c r="Z43" s="7">
        <f t="shared" si="23"/>
        <v>0</v>
      </c>
    </row>
    <row r="44" spans="1:26" s="29" customFormat="1" outlineLevel="1" collapsed="1" x14ac:dyDescent="0.25">
      <c r="A44" s="28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7041.26</v>
      </c>
      <c r="E44" s="1"/>
      <c r="F44" s="5">
        <f t="shared" si="16"/>
        <v>0</v>
      </c>
      <c r="G44" s="1"/>
      <c r="H44" s="1">
        <f>SUM(OSRRefH22_4x_0)</f>
        <v>7006</v>
      </c>
      <c r="I44" s="1"/>
      <c r="J44" s="5">
        <f t="shared" si="17"/>
        <v>0</v>
      </c>
      <c r="K44" s="1"/>
      <c r="L44" s="1">
        <f t="shared" si="18"/>
        <v>35.260000000000218</v>
      </c>
      <c r="M44" s="1"/>
      <c r="N44" s="5">
        <f t="shared" si="19"/>
        <v>5.0328290037111355E-3</v>
      </c>
      <c r="O44" s="14"/>
      <c r="P44" s="1">
        <f>SUM(OSRRefP22_4x_0)</f>
        <v>14082.52</v>
      </c>
      <c r="Q44" s="1"/>
      <c r="R44" s="5">
        <f t="shared" si="20"/>
        <v>0</v>
      </c>
      <c r="S44" s="1"/>
      <c r="T44" s="1">
        <f>SUM(OSRRefT22_4x_0)</f>
        <v>14012</v>
      </c>
      <c r="U44" s="1"/>
      <c r="V44" s="5">
        <f t="shared" si="21"/>
        <v>0</v>
      </c>
      <c r="W44" s="1"/>
      <c r="X44" s="1">
        <f t="shared" si="22"/>
        <v>70.520000000000437</v>
      </c>
      <c r="Y44" s="1"/>
      <c r="Z44" s="5">
        <f t="shared" si="23"/>
        <v>5.0328290037111355E-3</v>
      </c>
    </row>
    <row r="45" spans="1:26" s="24" customFormat="1" hidden="1" outlineLevel="2" x14ac:dyDescent="0.25">
      <c r="A45" s="27"/>
      <c r="B45" s="11" t="str">
        <f>CONCATENATE("          ", "6321", " - ", "BUILDING DEPRECIATION")</f>
        <v xml:space="preserve">          6321 - BUILDING DEPRECIATION</v>
      </c>
      <c r="C45" s="11"/>
      <c r="D45" s="6">
        <v>2084.08</v>
      </c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2084.08</v>
      </c>
      <c r="M45" s="2"/>
      <c r="N45" s="7">
        <f t="shared" si="19"/>
        <v>0</v>
      </c>
      <c r="O45" s="11"/>
      <c r="P45" s="6">
        <v>4168.16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4168.16</v>
      </c>
      <c r="Y45" s="2"/>
      <c r="Z45" s="7">
        <f t="shared" si="23"/>
        <v>0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4957.18</v>
      </c>
      <c r="E46" s="2"/>
      <c r="F46" s="7">
        <f t="shared" si="16"/>
        <v>0</v>
      </c>
      <c r="G46" s="2"/>
      <c r="H46" s="6">
        <v>7006</v>
      </c>
      <c r="I46" s="2"/>
      <c r="J46" s="7">
        <f t="shared" si="17"/>
        <v>0</v>
      </c>
      <c r="K46" s="2"/>
      <c r="L46" s="6">
        <f t="shared" si="18"/>
        <v>-2048.8199999999997</v>
      </c>
      <c r="M46" s="2"/>
      <c r="N46" s="7">
        <f t="shared" si="19"/>
        <v>-0.29243791036254635</v>
      </c>
      <c r="O46" s="11"/>
      <c r="P46" s="6">
        <v>9914.36</v>
      </c>
      <c r="Q46" s="2"/>
      <c r="R46" s="7">
        <f t="shared" si="20"/>
        <v>0</v>
      </c>
      <c r="S46" s="2"/>
      <c r="T46" s="6">
        <v>14012</v>
      </c>
      <c r="U46" s="2"/>
      <c r="V46" s="7">
        <f t="shared" si="21"/>
        <v>0</v>
      </c>
      <c r="W46" s="2"/>
      <c r="X46" s="6">
        <f t="shared" si="22"/>
        <v>-4097.6399999999994</v>
      </c>
      <c r="Y46" s="2"/>
      <c r="Z46" s="7">
        <f t="shared" si="23"/>
        <v>-0.29243791036254635</v>
      </c>
    </row>
    <row r="47" spans="1:26" s="29" customFormat="1" outlineLevel="1" collapsed="1" x14ac:dyDescent="0.25">
      <c r="A47" s="28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ref="F47:F53" si="24">IF(D$12=0,0,D47/D$12)</f>
        <v>0</v>
      </c>
      <c r="G47" s="1"/>
      <c r="H47" s="1">
        <f>SUM(OSRRefH22_5x_0)</f>
        <v>0</v>
      </c>
      <c r="I47" s="1"/>
      <c r="J47" s="5">
        <f t="shared" ref="J47:J53" si="25">IF(H$12=0,0,H47/H$12)</f>
        <v>0</v>
      </c>
      <c r="K47" s="1"/>
      <c r="L47" s="1">
        <f t="shared" ref="L47:L53" si="26">+D47-H47</f>
        <v>91.26</v>
      </c>
      <c r="M47" s="1"/>
      <c r="N47" s="5">
        <f t="shared" ref="N47:N53" si="27">IF(H47=0,0,L47/H47)</f>
        <v>0</v>
      </c>
      <c r="O47" s="14"/>
      <c r="P47" s="1">
        <f>SUM(OSRRefP22_5x_0)</f>
        <v>510.62</v>
      </c>
      <c r="Q47" s="1"/>
      <c r="R47" s="5">
        <f t="shared" ref="R47:R53" si="28">IF(P$12=0,0,P47/P$12)</f>
        <v>0</v>
      </c>
      <c r="S47" s="1"/>
      <c r="T47" s="1">
        <f>SUM(OSRRefT22_5x_0)</f>
        <v>0</v>
      </c>
      <c r="U47" s="1"/>
      <c r="V47" s="5">
        <f t="shared" ref="V47:V53" si="29">IF(T$12=0,0,T47/T$12)</f>
        <v>0</v>
      </c>
      <c r="W47" s="1"/>
      <c r="X47" s="1">
        <f t="shared" ref="X47:X53" si="30">+P47-T47</f>
        <v>510.62</v>
      </c>
      <c r="Y47" s="1"/>
      <c r="Z47" s="5">
        <f t="shared" ref="Z47:Z53" si="31">IF(T47=0,0,X47/T47)</f>
        <v>0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24"/>
        <v>0</v>
      </c>
      <c r="G48" s="2"/>
      <c r="H48" s="6">
        <v>0</v>
      </c>
      <c r="I48" s="2"/>
      <c r="J48" s="7">
        <f t="shared" si="25"/>
        <v>0</v>
      </c>
      <c r="K48" s="2"/>
      <c r="L48" s="6">
        <f t="shared" si="26"/>
        <v>91.26</v>
      </c>
      <c r="M48" s="2"/>
      <c r="N48" s="7">
        <f t="shared" si="27"/>
        <v>0</v>
      </c>
      <c r="O48" s="11"/>
      <c r="P48" s="6">
        <v>510.62</v>
      </c>
      <c r="Q48" s="2"/>
      <c r="R48" s="7">
        <f t="shared" si="28"/>
        <v>0</v>
      </c>
      <c r="S48" s="2"/>
      <c r="T48" s="6">
        <v>0</v>
      </c>
      <c r="U48" s="2"/>
      <c r="V48" s="7">
        <f t="shared" si="29"/>
        <v>0</v>
      </c>
      <c r="W48" s="2"/>
      <c r="X48" s="6">
        <f t="shared" si="30"/>
        <v>510.62</v>
      </c>
      <c r="Y48" s="2"/>
      <c r="Z48" s="7">
        <f t="shared" si="31"/>
        <v>0</v>
      </c>
    </row>
    <row r="49" spans="1:26" s="29" customFormat="1" outlineLevel="1" collapsed="1" x14ac:dyDescent="0.25">
      <c r="A49" s="28"/>
      <c r="B49" s="14" t="str">
        <f>CONCATENATE("     ","Insurance                                         ")</f>
        <v xml:space="preserve">     Insurance                                         </v>
      </c>
      <c r="C49" s="14"/>
      <c r="D49" s="1">
        <f>SUM(OSRRefD22_6x_0)</f>
        <v>3598.85</v>
      </c>
      <c r="E49" s="1"/>
      <c r="F49" s="5">
        <f t="shared" si="24"/>
        <v>0</v>
      </c>
      <c r="G49" s="1"/>
      <c r="H49" s="1">
        <f>SUM(OSRRefH22_6x_0)</f>
        <v>3860</v>
      </c>
      <c r="I49" s="1"/>
      <c r="J49" s="5">
        <f t="shared" si="25"/>
        <v>0</v>
      </c>
      <c r="K49" s="1"/>
      <c r="L49" s="1">
        <f t="shared" si="26"/>
        <v>-261.15000000000009</v>
      </c>
      <c r="M49" s="1"/>
      <c r="N49" s="5">
        <f t="shared" si="27"/>
        <v>-6.76554404145078E-2</v>
      </c>
      <c r="O49" s="14"/>
      <c r="P49" s="1">
        <f>SUM(OSRRefP22_6x_0)</f>
        <v>7197.7</v>
      </c>
      <c r="Q49" s="1"/>
      <c r="R49" s="5">
        <f t="shared" si="28"/>
        <v>0</v>
      </c>
      <c r="S49" s="1"/>
      <c r="T49" s="1">
        <f>SUM(OSRRefT22_6x_0)</f>
        <v>7720</v>
      </c>
      <c r="U49" s="1"/>
      <c r="V49" s="5">
        <f t="shared" si="29"/>
        <v>0</v>
      </c>
      <c r="W49" s="1"/>
      <c r="X49" s="1">
        <f t="shared" si="30"/>
        <v>-522.30000000000018</v>
      </c>
      <c r="Y49" s="1"/>
      <c r="Z49" s="5">
        <f t="shared" si="31"/>
        <v>-6.76554404145078E-2</v>
      </c>
    </row>
    <row r="50" spans="1:26" s="24" customFormat="1" hidden="1" outlineLevel="2" x14ac:dyDescent="0.25">
      <c r="A50" s="27"/>
      <c r="B50" s="11" t="str">
        <f>CONCATENATE("          ", "6314", " - ", "LIABILITY INSURANCE")</f>
        <v xml:space="preserve">          6314 - LIABILITY INSURANCE</v>
      </c>
      <c r="C50" s="11"/>
      <c r="D50" s="6">
        <v>3598.85</v>
      </c>
      <c r="E50" s="2"/>
      <c r="F50" s="7">
        <f t="shared" si="24"/>
        <v>0</v>
      </c>
      <c r="G50" s="2"/>
      <c r="H50" s="6">
        <v>3860</v>
      </c>
      <c r="I50" s="2"/>
      <c r="J50" s="7">
        <f t="shared" si="25"/>
        <v>0</v>
      </c>
      <c r="K50" s="2"/>
      <c r="L50" s="6">
        <f t="shared" si="26"/>
        <v>-261.15000000000009</v>
      </c>
      <c r="M50" s="2"/>
      <c r="N50" s="7">
        <f t="shared" si="27"/>
        <v>-6.76554404145078E-2</v>
      </c>
      <c r="O50" s="11"/>
      <c r="P50" s="6">
        <v>7197.7</v>
      </c>
      <c r="Q50" s="2"/>
      <c r="R50" s="7">
        <f t="shared" si="28"/>
        <v>0</v>
      </c>
      <c r="S50" s="2"/>
      <c r="T50" s="6">
        <v>7720</v>
      </c>
      <c r="U50" s="2"/>
      <c r="V50" s="7">
        <f t="shared" si="29"/>
        <v>0</v>
      </c>
      <c r="W50" s="2"/>
      <c r="X50" s="6">
        <f t="shared" si="30"/>
        <v>-522.30000000000018</v>
      </c>
      <c r="Y50" s="2"/>
      <c r="Z50" s="7">
        <f t="shared" si="31"/>
        <v>-6.76554404145078E-2</v>
      </c>
    </row>
    <row r="51" spans="1:26" s="29" customFormat="1" outlineLevel="1" collapsed="1" x14ac:dyDescent="0.25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SUM(OSRRefD22_7x_0)</f>
        <v>704.86</v>
      </c>
      <c r="E51" s="1"/>
      <c r="F51" s="5">
        <f t="shared" si="24"/>
        <v>0</v>
      </c>
      <c r="G51" s="1"/>
      <c r="H51" s="1">
        <f>SUM(OSRRefH22_7x_0)</f>
        <v>0</v>
      </c>
      <c r="I51" s="1"/>
      <c r="J51" s="5">
        <f t="shared" si="25"/>
        <v>0</v>
      </c>
      <c r="K51" s="1"/>
      <c r="L51" s="1">
        <f t="shared" si="26"/>
        <v>704.86</v>
      </c>
      <c r="M51" s="1"/>
      <c r="N51" s="5">
        <f t="shared" si="27"/>
        <v>0</v>
      </c>
      <c r="O51" s="14"/>
      <c r="P51" s="1">
        <f>SUM(OSRRefP22_7x_0)</f>
        <v>743.37</v>
      </c>
      <c r="Q51" s="1"/>
      <c r="R51" s="5">
        <f t="shared" si="28"/>
        <v>0</v>
      </c>
      <c r="S51" s="1"/>
      <c r="T51" s="1">
        <f>SUM(OSRRefT22_7x_0)</f>
        <v>0</v>
      </c>
      <c r="U51" s="1"/>
      <c r="V51" s="5">
        <f t="shared" si="29"/>
        <v>0</v>
      </c>
      <c r="W51" s="1"/>
      <c r="X51" s="1">
        <f t="shared" si="30"/>
        <v>743.37</v>
      </c>
      <c r="Y51" s="1"/>
      <c r="Z51" s="5">
        <f t="shared" si="31"/>
        <v>0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6">
        <v>704.86</v>
      </c>
      <c r="E52" s="2"/>
      <c r="F52" s="7">
        <f t="shared" si="24"/>
        <v>0</v>
      </c>
      <c r="G52" s="2"/>
      <c r="H52" s="6">
        <v>0</v>
      </c>
      <c r="I52" s="2"/>
      <c r="J52" s="7">
        <f t="shared" si="25"/>
        <v>0</v>
      </c>
      <c r="K52" s="2"/>
      <c r="L52" s="6">
        <f t="shared" si="26"/>
        <v>704.86</v>
      </c>
      <c r="M52" s="2"/>
      <c r="N52" s="7">
        <f t="shared" si="27"/>
        <v>0</v>
      </c>
      <c r="O52" s="11"/>
      <c r="P52" s="6">
        <v>705.91</v>
      </c>
      <c r="Q52" s="2"/>
      <c r="R52" s="7">
        <f t="shared" si="28"/>
        <v>0</v>
      </c>
      <c r="S52" s="2"/>
      <c r="T52" s="6">
        <v>0</v>
      </c>
      <c r="U52" s="2"/>
      <c r="V52" s="7">
        <f t="shared" si="29"/>
        <v>0</v>
      </c>
      <c r="W52" s="2"/>
      <c r="X52" s="6">
        <f t="shared" si="30"/>
        <v>705.91</v>
      </c>
      <c r="Y52" s="2"/>
      <c r="Z52" s="7">
        <f t="shared" si="31"/>
        <v>0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4"/>
        <v>0</v>
      </c>
      <c r="G53" s="2"/>
      <c r="H53" s="6">
        <v>0</v>
      </c>
      <c r="I53" s="2"/>
      <c r="J53" s="7">
        <f t="shared" si="25"/>
        <v>0</v>
      </c>
      <c r="K53" s="2"/>
      <c r="L53" s="6">
        <f t="shared" si="26"/>
        <v>0</v>
      </c>
      <c r="M53" s="2"/>
      <c r="N53" s="7">
        <f t="shared" si="27"/>
        <v>0</v>
      </c>
      <c r="O53" s="11"/>
      <c r="P53" s="6">
        <v>37.46</v>
      </c>
      <c r="Q53" s="2"/>
      <c r="R53" s="7">
        <f t="shared" si="28"/>
        <v>0</v>
      </c>
      <c r="S53" s="2"/>
      <c r="T53" s="6">
        <v>0</v>
      </c>
      <c r="U53" s="2"/>
      <c r="V53" s="7">
        <f t="shared" si="29"/>
        <v>0</v>
      </c>
      <c r="W53" s="2"/>
      <c r="X53" s="6">
        <f t="shared" si="30"/>
        <v>37.46</v>
      </c>
      <c r="Y53" s="2"/>
      <c r="Z53" s="7">
        <f t="shared" si="31"/>
        <v>0</v>
      </c>
    </row>
    <row r="54" spans="1:26" s="29" customFormat="1" outlineLevel="1" collapsed="1" x14ac:dyDescent="0.25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SUM(OSRRefD22_8x_0)</f>
        <v>0</v>
      </c>
      <c r="E54" s="1"/>
      <c r="F54" s="5">
        <f t="shared" ref="F54:F58" si="32">IF(D$12=0,0,D54/D$12)</f>
        <v>0</v>
      </c>
      <c r="G54" s="1"/>
      <c r="H54" s="1">
        <f>SUM(OSRRefH22_8x_0)</f>
        <v>2226</v>
      </c>
      <c r="I54" s="1"/>
      <c r="J54" s="5">
        <f t="shared" ref="J54:J58" si="33">IF(H$12=0,0,H54/H$12)</f>
        <v>0</v>
      </c>
      <c r="K54" s="1"/>
      <c r="L54" s="1">
        <f t="shared" ref="L54:L58" si="34">+D54-H54</f>
        <v>-2226</v>
      </c>
      <c r="M54" s="1"/>
      <c r="N54" s="5">
        <f t="shared" ref="N54:N58" si="35">IF(H54=0,0,L54/H54)</f>
        <v>-1</v>
      </c>
      <c r="O54" s="14"/>
      <c r="P54" s="1">
        <f>SUM(OSRRefP22_8x_0)</f>
        <v>0</v>
      </c>
      <c r="Q54" s="1"/>
      <c r="R54" s="5">
        <f t="shared" ref="R54:R58" si="36">IF(P$12=0,0,P54/P$12)</f>
        <v>0</v>
      </c>
      <c r="S54" s="1"/>
      <c r="T54" s="1">
        <f>SUM(OSRRefT22_8x_0)</f>
        <v>4052</v>
      </c>
      <c r="U54" s="1"/>
      <c r="V54" s="5">
        <f t="shared" ref="V54:V58" si="37">IF(T$12=0,0,T54/T$12)</f>
        <v>0</v>
      </c>
      <c r="W54" s="1"/>
      <c r="X54" s="1">
        <f t="shared" ref="X54:X58" si="38">+P54-T54</f>
        <v>-4052</v>
      </c>
      <c r="Y54" s="1"/>
      <c r="Z54" s="5">
        <f t="shared" ref="Z54:Z58" si="39">IF(T54=0,0,X54/T54)</f>
        <v>-1</v>
      </c>
    </row>
    <row r="55" spans="1:26" s="24" customFormat="1" hidden="1" outlineLevel="2" x14ac:dyDescent="0.25">
      <c r="A55" s="27"/>
      <c r="B55" s="11" t="str">
        <f>CONCATENATE("          ", "6282", " - ", "JANITORIAL/EXTERMINATOR EXPENS")</f>
        <v xml:space="preserve">          6282 - JANITORIAL/EXTERMINATOR EXPENS</v>
      </c>
      <c r="C55" s="11"/>
      <c r="D55" s="6"/>
      <c r="E55" s="2"/>
      <c r="F55" s="7">
        <f t="shared" si="32"/>
        <v>0</v>
      </c>
      <c r="G55" s="2"/>
      <c r="H55" s="6">
        <v>626</v>
      </c>
      <c r="I55" s="2"/>
      <c r="J55" s="7">
        <f t="shared" si="33"/>
        <v>0</v>
      </c>
      <c r="K55" s="2"/>
      <c r="L55" s="6">
        <f t="shared" si="34"/>
        <v>-626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1252</v>
      </c>
      <c r="U55" s="2"/>
      <c r="V55" s="7">
        <f t="shared" si="37"/>
        <v>0</v>
      </c>
      <c r="W55" s="2"/>
      <c r="X55" s="6">
        <f t="shared" si="38"/>
        <v>-1252</v>
      </c>
      <c r="Y55" s="2"/>
      <c r="Z55" s="7">
        <f t="shared" si="39"/>
        <v>-1</v>
      </c>
    </row>
    <row r="56" spans="1:26" s="24" customFormat="1" hidden="1" outlineLevel="2" x14ac:dyDescent="0.25">
      <c r="A56" s="27"/>
      <c r="B56" s="11" t="str">
        <f>CONCATENATE("          ", "6283", " - ", "PLANT SERVICE")</f>
        <v xml:space="preserve">          6283 - PLANT SERVICE</v>
      </c>
      <c r="C56" s="11"/>
      <c r="D56" s="6"/>
      <c r="E56" s="2"/>
      <c r="F56" s="7">
        <f t="shared" si="32"/>
        <v>0</v>
      </c>
      <c r="G56" s="2"/>
      <c r="H56" s="6">
        <v>0</v>
      </c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/>
      <c r="Q56" s="2"/>
      <c r="R56" s="7">
        <f t="shared" si="36"/>
        <v>0</v>
      </c>
      <c r="S56" s="2"/>
      <c r="T56" s="6">
        <v>0</v>
      </c>
      <c r="U56" s="2"/>
      <c r="V56" s="7">
        <f t="shared" si="37"/>
        <v>0</v>
      </c>
      <c r="W56" s="2"/>
      <c r="X56" s="6">
        <f t="shared" si="38"/>
        <v>0</v>
      </c>
      <c r="Y56" s="2"/>
      <c r="Z56" s="7">
        <f t="shared" si="39"/>
        <v>0</v>
      </c>
    </row>
    <row r="57" spans="1:26" s="24" customFormat="1" hidden="1" outlineLevel="2" x14ac:dyDescent="0.25">
      <c r="A57" s="27"/>
      <c r="B57" s="11" t="str">
        <f>CONCATENATE("          ", "6284", " - ", "TRASH REMOVAL EXPENSE")</f>
        <v xml:space="preserve">          6284 - TRASH REMOVAL EXPENSE</v>
      </c>
      <c r="C57" s="11"/>
      <c r="D57" s="6"/>
      <c r="E57" s="2"/>
      <c r="F57" s="7">
        <f t="shared" si="32"/>
        <v>0</v>
      </c>
      <c r="G57" s="2"/>
      <c r="H57" s="6">
        <v>1600</v>
      </c>
      <c r="I57" s="2"/>
      <c r="J57" s="7">
        <f t="shared" si="33"/>
        <v>0</v>
      </c>
      <c r="K57" s="2"/>
      <c r="L57" s="6">
        <f t="shared" si="34"/>
        <v>-1600</v>
      </c>
      <c r="M57" s="2"/>
      <c r="N57" s="7">
        <f t="shared" si="35"/>
        <v>-1</v>
      </c>
      <c r="O57" s="11"/>
      <c r="P57" s="6"/>
      <c r="Q57" s="2"/>
      <c r="R57" s="7">
        <f t="shared" si="36"/>
        <v>0</v>
      </c>
      <c r="S57" s="2"/>
      <c r="T57" s="6">
        <v>2800</v>
      </c>
      <c r="U57" s="2"/>
      <c r="V57" s="7">
        <f t="shared" si="37"/>
        <v>0</v>
      </c>
      <c r="W57" s="2"/>
      <c r="X57" s="6">
        <f t="shared" si="38"/>
        <v>-2800</v>
      </c>
      <c r="Y57" s="2"/>
      <c r="Z57" s="7">
        <f t="shared" si="39"/>
        <v>-1</v>
      </c>
    </row>
    <row r="58" spans="1:26" s="24" customFormat="1" hidden="1" outlineLevel="2" x14ac:dyDescent="0.25">
      <c r="A58" s="27"/>
      <c r="B58" s="11" t="str">
        <f>CONCATENATE("          ", "6285", " - ", "JANITORIAL SERVICES")</f>
        <v xml:space="preserve">          6285 - JANITORIAL SERVICES</v>
      </c>
      <c r="C58" s="11"/>
      <c r="D58" s="6"/>
      <c r="E58" s="2"/>
      <c r="F58" s="7">
        <f t="shared" si="32"/>
        <v>0</v>
      </c>
      <c r="G58" s="2"/>
      <c r="H58" s="6">
        <v>0</v>
      </c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/>
      <c r="Q58" s="2"/>
      <c r="R58" s="7">
        <f t="shared" si="36"/>
        <v>0</v>
      </c>
      <c r="S58" s="2"/>
      <c r="T58" s="6">
        <v>0</v>
      </c>
      <c r="U58" s="2"/>
      <c r="V58" s="7">
        <f t="shared" si="37"/>
        <v>0</v>
      </c>
      <c r="W58" s="2"/>
      <c r="X58" s="6">
        <f t="shared" si="38"/>
        <v>0</v>
      </c>
      <c r="Y58" s="2"/>
      <c r="Z58" s="7">
        <f t="shared" si="39"/>
        <v>0</v>
      </c>
    </row>
    <row r="59" spans="1:26" s="29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-29200.769999999997</v>
      </c>
      <c r="E59" s="1"/>
      <c r="F59" s="5">
        <f t="shared" ref="F59:F66" si="40">IF(D$12=0,0,D59/D$12)</f>
        <v>0</v>
      </c>
      <c r="G59" s="1"/>
      <c r="H59" s="1">
        <f>SUM(OSRRefH22_9x_0)</f>
        <v>0</v>
      </c>
      <c r="I59" s="1"/>
      <c r="J59" s="5">
        <f t="shared" ref="J59:J66" si="41">IF(H$12=0,0,H59/H$12)</f>
        <v>0</v>
      </c>
      <c r="K59" s="1"/>
      <c r="L59" s="1">
        <f t="shared" ref="L59:L66" si="42">+D59-H59</f>
        <v>-29200.769999999997</v>
      </c>
      <c r="M59" s="1"/>
      <c r="N59" s="5">
        <f t="shared" ref="N59:N66" si="43">IF(H59=0,0,L59/H59)</f>
        <v>0</v>
      </c>
      <c r="O59" s="14"/>
      <c r="P59" s="1">
        <f>SUM(OSRRefP22_9x_0)</f>
        <v>-29200.769999999997</v>
      </c>
      <c r="Q59" s="1"/>
      <c r="R59" s="5">
        <f t="shared" ref="R59:R66" si="44">IF(P$12=0,0,P59/P$12)</f>
        <v>0</v>
      </c>
      <c r="S59" s="1"/>
      <c r="T59" s="1">
        <f>SUM(OSRRefT22_9x_0)</f>
        <v>0</v>
      </c>
      <c r="U59" s="1"/>
      <c r="V59" s="5">
        <f t="shared" ref="V59:V66" si="45">IF(T$12=0,0,T59/T$12)</f>
        <v>0</v>
      </c>
      <c r="W59" s="1"/>
      <c r="X59" s="1">
        <f t="shared" ref="X59:X66" si="46">+P59-T59</f>
        <v>-29200.769999999997</v>
      </c>
      <c r="Y59" s="1"/>
      <c r="Z59" s="5">
        <f t="shared" ref="Z59:Z66" si="47">IF(T59=0,0,X59/T59)</f>
        <v>0</v>
      </c>
    </row>
    <row r="60" spans="1:26" s="24" customFormat="1" hidden="1" outlineLevel="2" x14ac:dyDescent="0.25">
      <c r="A60" s="27"/>
      <c r="B60" s="11" t="str">
        <f>CONCATENATE("          ", "6235", " - ", "COVID-19 EXPENSES")</f>
        <v xml:space="preserve">          6235 - COVID-19 EXPENSES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/>
      <c r="Q60" s="2"/>
      <c r="R60" s="7">
        <f t="shared" si="44"/>
        <v>0</v>
      </c>
      <c r="S60" s="2"/>
      <c r="T60" s="6">
        <v>0</v>
      </c>
      <c r="U60" s="2"/>
      <c r="V60" s="7">
        <f t="shared" si="45"/>
        <v>0</v>
      </c>
      <c r="W60" s="2"/>
      <c r="X60" s="6">
        <f t="shared" si="46"/>
        <v>0</v>
      </c>
      <c r="Y60" s="2"/>
      <c r="Z60" s="7">
        <f t="shared" si="47"/>
        <v>0</v>
      </c>
    </row>
    <row r="61" spans="1:26" s="24" customFormat="1" hidden="1" outlineLevel="2" x14ac:dyDescent="0.25">
      <c r="A61" s="27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40"/>
        <v>0</v>
      </c>
      <c r="G61" s="2"/>
      <c r="H61" s="6">
        <v>0</v>
      </c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/>
      <c r="Q61" s="2"/>
      <c r="R61" s="7">
        <f t="shared" si="44"/>
        <v>0</v>
      </c>
      <c r="S61" s="2"/>
      <c r="T61" s="6">
        <v>0</v>
      </c>
      <c r="U61" s="2"/>
      <c r="V61" s="7">
        <f t="shared" si="45"/>
        <v>0</v>
      </c>
      <c r="W61" s="2"/>
      <c r="X61" s="6">
        <f t="shared" si="46"/>
        <v>0</v>
      </c>
      <c r="Y61" s="2"/>
      <c r="Z61" s="7">
        <f t="shared" si="47"/>
        <v>0</v>
      </c>
    </row>
    <row r="62" spans="1:26" s="24" customFormat="1" hidden="1" outlineLevel="2" x14ac:dyDescent="0.25">
      <c r="A62" s="27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40"/>
        <v>0</v>
      </c>
      <c r="G62" s="2"/>
      <c r="H62" s="6">
        <v>0</v>
      </c>
      <c r="I62" s="2"/>
      <c r="J62" s="7">
        <f t="shared" si="41"/>
        <v>0</v>
      </c>
      <c r="K62" s="2"/>
      <c r="L62" s="6">
        <f t="shared" si="42"/>
        <v>0</v>
      </c>
      <c r="M62" s="2"/>
      <c r="N62" s="7">
        <f t="shared" si="43"/>
        <v>0</v>
      </c>
      <c r="O62" s="11"/>
      <c r="P62" s="6"/>
      <c r="Q62" s="2"/>
      <c r="R62" s="7">
        <f t="shared" si="44"/>
        <v>0</v>
      </c>
      <c r="S62" s="2"/>
      <c r="T62" s="6">
        <v>0</v>
      </c>
      <c r="U62" s="2"/>
      <c r="V62" s="7">
        <f t="shared" si="45"/>
        <v>0</v>
      </c>
      <c r="W62" s="2"/>
      <c r="X62" s="6">
        <f t="shared" si="46"/>
        <v>0</v>
      </c>
      <c r="Y62" s="2"/>
      <c r="Z62" s="7">
        <f t="shared" si="47"/>
        <v>0</v>
      </c>
    </row>
    <row r="63" spans="1:26" s="24" customFormat="1" hidden="1" outlineLevel="2" x14ac:dyDescent="0.25">
      <c r="A63" s="27"/>
      <c r="B63" s="11" t="str">
        <f>CONCATENATE("          ", "6241", " - ", "OFFICE EXPENSE")</f>
        <v xml:space="preserve">          6241 - OFFICE EXPENSE</v>
      </c>
      <c r="C63" s="11"/>
      <c r="D63" s="6">
        <v>-29200.769999999997</v>
      </c>
      <c r="E63" s="2"/>
      <c r="F63" s="7">
        <f t="shared" si="40"/>
        <v>0</v>
      </c>
      <c r="G63" s="2"/>
      <c r="H63" s="6">
        <v>0</v>
      </c>
      <c r="I63" s="2"/>
      <c r="J63" s="7">
        <f t="shared" si="41"/>
        <v>0</v>
      </c>
      <c r="K63" s="2"/>
      <c r="L63" s="6">
        <f t="shared" si="42"/>
        <v>-29200.769999999997</v>
      </c>
      <c r="M63" s="2"/>
      <c r="N63" s="7">
        <f t="shared" si="43"/>
        <v>0</v>
      </c>
      <c r="O63" s="11"/>
      <c r="P63" s="6">
        <v>-29200.769999999997</v>
      </c>
      <c r="Q63" s="2"/>
      <c r="R63" s="7">
        <f t="shared" si="44"/>
        <v>0</v>
      </c>
      <c r="S63" s="2"/>
      <c r="T63" s="6">
        <v>0</v>
      </c>
      <c r="U63" s="2"/>
      <c r="V63" s="7">
        <f t="shared" si="45"/>
        <v>0</v>
      </c>
      <c r="W63" s="2"/>
      <c r="X63" s="6">
        <f t="shared" si="46"/>
        <v>-29200.769999999997</v>
      </c>
      <c r="Y63" s="2"/>
      <c r="Z63" s="7">
        <f t="shared" si="47"/>
        <v>0</v>
      </c>
    </row>
    <row r="64" spans="1:26" s="24" customFormat="1" hidden="1" outlineLevel="2" x14ac:dyDescent="0.25">
      <c r="A64" s="27"/>
      <c r="B64" s="11" t="str">
        <f>CONCATENATE("          ", "6246", " - ", "REPLACEMENTS")</f>
        <v xml:space="preserve">          6246 - REPLACEMENTS</v>
      </c>
      <c r="C64" s="11"/>
      <c r="D64" s="6"/>
      <c r="E64" s="2"/>
      <c r="F64" s="7">
        <f t="shared" si="40"/>
        <v>0</v>
      </c>
      <c r="G64" s="2"/>
      <c r="H64" s="6">
        <v>0</v>
      </c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/>
      <c r="Q64" s="2"/>
      <c r="R64" s="7">
        <f t="shared" si="44"/>
        <v>0</v>
      </c>
      <c r="S64" s="2"/>
      <c r="T64" s="6">
        <v>0</v>
      </c>
      <c r="U64" s="2"/>
      <c r="V64" s="7">
        <f t="shared" si="45"/>
        <v>0</v>
      </c>
      <c r="W64" s="2"/>
      <c r="X64" s="6">
        <f t="shared" si="46"/>
        <v>0</v>
      </c>
      <c r="Y64" s="2"/>
      <c r="Z64" s="7">
        <f t="shared" si="47"/>
        <v>0</v>
      </c>
    </row>
    <row r="65" spans="1:26" s="24" customFormat="1" hidden="1" outlineLevel="2" x14ac:dyDescent="0.25">
      <c r="A65" s="27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40"/>
        <v>0</v>
      </c>
      <c r="G65" s="2"/>
      <c r="H65" s="6">
        <v>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/>
      <c r="Q65" s="2"/>
      <c r="R65" s="7">
        <f t="shared" si="44"/>
        <v>0</v>
      </c>
      <c r="S65" s="2"/>
      <c r="T65" s="6">
        <v>0</v>
      </c>
      <c r="U65" s="2"/>
      <c r="V65" s="7">
        <f t="shared" si="45"/>
        <v>0</v>
      </c>
      <c r="W65" s="2"/>
      <c r="X65" s="6">
        <f t="shared" si="46"/>
        <v>0</v>
      </c>
      <c r="Y65" s="2"/>
      <c r="Z65" s="7">
        <f t="shared" si="47"/>
        <v>0</v>
      </c>
    </row>
    <row r="66" spans="1:26" s="24" customFormat="1" hidden="1" outlineLevel="2" x14ac:dyDescent="0.25">
      <c r="A66" s="27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40"/>
        <v>0</v>
      </c>
      <c r="G66" s="2"/>
      <c r="H66" s="6"/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9" customFormat="1" outlineLevel="1" collapsed="1" x14ac:dyDescent="0.25">
      <c r="A67" s="28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SUM(OSRRefD22_10x_0)</f>
        <v>353.3</v>
      </c>
      <c r="E67" s="1"/>
      <c r="F67" s="5">
        <f t="shared" ref="F67:F72" si="48">IF(D$12=0,0,D67/D$12)</f>
        <v>0</v>
      </c>
      <c r="G67" s="1"/>
      <c r="H67" s="1">
        <f>SUM(OSRRefH22_10x_0)</f>
        <v>50</v>
      </c>
      <c r="I67" s="1"/>
      <c r="J67" s="5">
        <f t="shared" ref="J67:J72" si="49">IF(H$12=0,0,H67/H$12)</f>
        <v>0</v>
      </c>
      <c r="K67" s="1"/>
      <c r="L67" s="1">
        <f t="shared" ref="L67:L72" si="50">+D67-H67</f>
        <v>303.3</v>
      </c>
      <c r="M67" s="1"/>
      <c r="N67" s="5">
        <f t="shared" ref="N67:N72" si="51">IF(H67=0,0,L67/H67)</f>
        <v>6.0659999999999998</v>
      </c>
      <c r="O67" s="14"/>
      <c r="P67" s="1">
        <f>SUM(OSRRefP22_10x_0)</f>
        <v>779.3</v>
      </c>
      <c r="Q67" s="1"/>
      <c r="R67" s="5">
        <f t="shared" ref="R67:R72" si="52">IF(P$12=0,0,P67/P$12)</f>
        <v>0</v>
      </c>
      <c r="S67" s="1"/>
      <c r="T67" s="1">
        <f>SUM(OSRRefT22_10x_0)</f>
        <v>100</v>
      </c>
      <c r="U67" s="1"/>
      <c r="V67" s="5">
        <f t="shared" ref="V67:V72" si="53">IF(T$12=0,0,T67/T$12)</f>
        <v>0</v>
      </c>
      <c r="W67" s="1"/>
      <c r="X67" s="1">
        <f t="shared" ref="X67:X72" si="54">+P67-T67</f>
        <v>679.3</v>
      </c>
      <c r="Y67" s="1"/>
      <c r="Z67" s="5">
        <f t="shared" ref="Z67:Z72" si="55">IF(T67=0,0,X67/T67)</f>
        <v>6.7929999999999993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353.3</v>
      </c>
      <c r="E68" s="2"/>
      <c r="F68" s="7">
        <f t="shared" si="48"/>
        <v>0</v>
      </c>
      <c r="G68" s="2"/>
      <c r="H68" s="6">
        <v>50</v>
      </c>
      <c r="I68" s="2"/>
      <c r="J68" s="7">
        <f t="shared" si="49"/>
        <v>0</v>
      </c>
      <c r="K68" s="2"/>
      <c r="L68" s="6">
        <f t="shared" si="50"/>
        <v>303.3</v>
      </c>
      <c r="M68" s="2"/>
      <c r="N68" s="7">
        <f t="shared" si="51"/>
        <v>6.0659999999999998</v>
      </c>
      <c r="O68" s="11"/>
      <c r="P68" s="6">
        <v>779.3</v>
      </c>
      <c r="Q68" s="2"/>
      <c r="R68" s="7">
        <f t="shared" si="52"/>
        <v>0</v>
      </c>
      <c r="S68" s="2"/>
      <c r="T68" s="6">
        <v>100</v>
      </c>
      <c r="U68" s="2"/>
      <c r="V68" s="7">
        <f t="shared" si="53"/>
        <v>0</v>
      </c>
      <c r="W68" s="2"/>
      <c r="X68" s="6">
        <f t="shared" si="54"/>
        <v>679.3</v>
      </c>
      <c r="Y68" s="2"/>
      <c r="Z68" s="7">
        <f t="shared" si="55"/>
        <v>6.7929999999999993</v>
      </c>
    </row>
    <row r="69" spans="1:26" s="29" customFormat="1" outlineLevel="1" collapsed="1" x14ac:dyDescent="0.25">
      <c r="A69" s="28"/>
      <c r="B69" s="14" t="str">
        <f>CONCATENATE("     ","Travel                                            ")</f>
        <v xml:space="preserve">     Travel                                            </v>
      </c>
      <c r="C69" s="14"/>
      <c r="D69" s="1">
        <f>SUM(OSRRefD22_11x_0)</f>
        <v>0</v>
      </c>
      <c r="E69" s="1"/>
      <c r="F69" s="5">
        <f t="shared" si="48"/>
        <v>0</v>
      </c>
      <c r="G69" s="1"/>
      <c r="H69" s="1">
        <f>SUM(OSRRefH22_11x_0)</f>
        <v>0</v>
      </c>
      <c r="I69" s="1"/>
      <c r="J69" s="5">
        <f t="shared" si="49"/>
        <v>0</v>
      </c>
      <c r="K69" s="1"/>
      <c r="L69" s="1">
        <f t="shared" si="50"/>
        <v>0</v>
      </c>
      <c r="M69" s="1"/>
      <c r="N69" s="5">
        <f t="shared" si="51"/>
        <v>0</v>
      </c>
      <c r="O69" s="14"/>
      <c r="P69" s="1">
        <f>SUM(OSRRefP22_11x_0)</f>
        <v>179.69</v>
      </c>
      <c r="Q69" s="1"/>
      <c r="R69" s="5">
        <f t="shared" si="52"/>
        <v>0</v>
      </c>
      <c r="S69" s="1"/>
      <c r="T69" s="1">
        <f>SUM(OSRRefT22_11x_0)</f>
        <v>0</v>
      </c>
      <c r="U69" s="1"/>
      <c r="V69" s="5">
        <f t="shared" si="53"/>
        <v>0</v>
      </c>
      <c r="W69" s="1"/>
      <c r="X69" s="1">
        <f t="shared" si="54"/>
        <v>179.69</v>
      </c>
      <c r="Y69" s="1"/>
      <c r="Z69" s="5">
        <f t="shared" si="55"/>
        <v>0</v>
      </c>
    </row>
    <row r="70" spans="1:26" s="24" customFormat="1" hidden="1" outlineLevel="2" x14ac:dyDescent="0.25">
      <c r="A70" s="27"/>
      <c r="B70" s="11" t="str">
        <f>CONCATENATE("          ", "6298", " - ", "VEHICLE MILEAGE")</f>
        <v xml:space="preserve">          6298 - VEHICLE MILEAGE</v>
      </c>
      <c r="C70" s="11"/>
      <c r="D70" s="6"/>
      <c r="E70" s="2"/>
      <c r="F70" s="7">
        <f t="shared" si="48"/>
        <v>0</v>
      </c>
      <c r="G70" s="2"/>
      <c r="H70" s="6"/>
      <c r="I70" s="2"/>
      <c r="J70" s="7">
        <f t="shared" si="49"/>
        <v>0</v>
      </c>
      <c r="K70" s="2"/>
      <c r="L70" s="6">
        <f t="shared" si="50"/>
        <v>0</v>
      </c>
      <c r="M70" s="2"/>
      <c r="N70" s="7">
        <f t="shared" si="51"/>
        <v>0</v>
      </c>
      <c r="O70" s="11"/>
      <c r="P70" s="6">
        <v>179.69</v>
      </c>
      <c r="Q70" s="2"/>
      <c r="R70" s="7">
        <f t="shared" si="52"/>
        <v>0</v>
      </c>
      <c r="S70" s="2"/>
      <c r="T70" s="6"/>
      <c r="U70" s="2"/>
      <c r="V70" s="7">
        <f t="shared" si="53"/>
        <v>0</v>
      </c>
      <c r="W70" s="2"/>
      <c r="X70" s="6">
        <f t="shared" si="54"/>
        <v>179.69</v>
      </c>
      <c r="Y70" s="2"/>
      <c r="Z70" s="7">
        <f t="shared" si="55"/>
        <v>0</v>
      </c>
    </row>
    <row r="71" spans="1:26" s="29" customFormat="1" outlineLevel="1" collapsed="1" x14ac:dyDescent="0.25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SUM(OSRRefD22_12x_0)</f>
        <v>0</v>
      </c>
      <c r="E71" s="1"/>
      <c r="F71" s="5">
        <f t="shared" si="48"/>
        <v>0</v>
      </c>
      <c r="G71" s="1"/>
      <c r="H71" s="1">
        <f>SUM(OSRRefH22_12x_0)</f>
        <v>1000</v>
      </c>
      <c r="I71" s="1"/>
      <c r="J71" s="5">
        <f t="shared" si="49"/>
        <v>0</v>
      </c>
      <c r="K71" s="1"/>
      <c r="L71" s="1">
        <f t="shared" si="50"/>
        <v>-1000</v>
      </c>
      <c r="M71" s="1"/>
      <c r="N71" s="5">
        <f t="shared" si="51"/>
        <v>-1</v>
      </c>
      <c r="O71" s="14"/>
      <c r="P71" s="1">
        <f>SUM(OSRRefP22_12x_0)</f>
        <v>0</v>
      </c>
      <c r="Q71" s="1"/>
      <c r="R71" s="5">
        <f t="shared" si="52"/>
        <v>0</v>
      </c>
      <c r="S71" s="1"/>
      <c r="T71" s="1">
        <f>SUM(OSRRefT22_12x_0)</f>
        <v>2000</v>
      </c>
      <c r="U71" s="1"/>
      <c r="V71" s="5">
        <f t="shared" si="53"/>
        <v>0</v>
      </c>
      <c r="W71" s="1"/>
      <c r="X71" s="1">
        <f t="shared" si="54"/>
        <v>-2000</v>
      </c>
      <c r="Y71" s="1"/>
      <c r="Z71" s="5">
        <f t="shared" si="55"/>
        <v>-1</v>
      </c>
    </row>
    <row r="72" spans="1:26" s="24" customFormat="1" hidden="1" outlineLevel="2" x14ac:dyDescent="0.25">
      <c r="A72" s="27"/>
      <c r="B72" s="11" t="str">
        <f>CONCATENATE("          ", "6274", " - ", "UTILITIES")</f>
        <v xml:space="preserve">          6274 - UTILITIES</v>
      </c>
      <c r="C72" s="11"/>
      <c r="D72" s="6"/>
      <c r="E72" s="2"/>
      <c r="F72" s="7">
        <f t="shared" si="48"/>
        <v>0</v>
      </c>
      <c r="G72" s="2"/>
      <c r="H72" s="6">
        <v>1000</v>
      </c>
      <c r="I72" s="2"/>
      <c r="J72" s="7">
        <f t="shared" si="49"/>
        <v>0</v>
      </c>
      <c r="K72" s="2"/>
      <c r="L72" s="6">
        <f t="shared" si="50"/>
        <v>-1000</v>
      </c>
      <c r="M72" s="2"/>
      <c r="N72" s="7">
        <f t="shared" si="51"/>
        <v>-1</v>
      </c>
      <c r="O72" s="11"/>
      <c r="P72" s="6"/>
      <c r="Q72" s="2"/>
      <c r="R72" s="7">
        <f t="shared" si="52"/>
        <v>0</v>
      </c>
      <c r="S72" s="2"/>
      <c r="T72" s="6">
        <v>2000</v>
      </c>
      <c r="U72" s="2"/>
      <c r="V72" s="7">
        <f t="shared" si="53"/>
        <v>0</v>
      </c>
      <c r="W72" s="2"/>
      <c r="X72" s="6">
        <f t="shared" si="54"/>
        <v>-2000</v>
      </c>
      <c r="Y72" s="2"/>
      <c r="Z72" s="7">
        <f t="shared" si="55"/>
        <v>-1</v>
      </c>
    </row>
    <row r="73" spans="1:26" s="61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2" customFormat="1" collapsed="1" x14ac:dyDescent="0.25">
      <c r="A74" s="10"/>
      <c r="B74" s="25" t="s">
        <v>0</v>
      </c>
      <c r="C74" s="10"/>
      <c r="D74" s="4">
        <f>SUM(OSRRefD25x_0)</f>
        <v>626.42999999999995</v>
      </c>
      <c r="E74" s="4"/>
      <c r="F74" s="12">
        <f t="shared" ref="F74:F76" si="56">IF(D$12=0,0,D74/D$12)</f>
        <v>0</v>
      </c>
      <c r="G74" s="4"/>
      <c r="H74" s="4">
        <f>SUM(OSRRefH25x_0)</f>
        <v>0</v>
      </c>
      <c r="I74" s="4"/>
      <c r="J74" s="12">
        <f t="shared" ref="J74:J76" si="57">IF(H$12=0,0,H74/H$12)</f>
        <v>0</v>
      </c>
      <c r="K74" s="4"/>
      <c r="L74" s="4">
        <f t="shared" ref="L74:L76" si="58">+D74-H74</f>
        <v>626.42999999999995</v>
      </c>
      <c r="M74" s="4"/>
      <c r="N74" s="12">
        <f t="shared" ref="N74:N76" si="59">IF(H74=0,0,L74/H74)</f>
        <v>0</v>
      </c>
      <c r="O74" s="10"/>
      <c r="P74" s="4">
        <f>SUM(OSRRefP25x_0)</f>
        <v>1138.8399999999999</v>
      </c>
      <c r="Q74" s="4"/>
      <c r="R74" s="12">
        <f t="shared" ref="R74:R76" si="60">IF(P$12=0,0,P74/P$12)</f>
        <v>0</v>
      </c>
      <c r="S74" s="4"/>
      <c r="T74" s="4">
        <f>SUM(OSRRefT25x_0)</f>
        <v>0</v>
      </c>
      <c r="U74" s="4"/>
      <c r="V74" s="12">
        <f t="shared" ref="V74:V76" si="61">IF(T$12=0,0,T74/T$12)</f>
        <v>0</v>
      </c>
      <c r="W74" s="4"/>
      <c r="X74" s="4">
        <f t="shared" ref="X74:X76" si="62">+P74-T74</f>
        <v>1138.8399999999999</v>
      </c>
      <c r="Y74" s="4"/>
      <c r="Z74" s="12">
        <f t="shared" ref="Z74:Z76" si="63">IF(T74=0,0,X74/T74)</f>
        <v>0</v>
      </c>
    </row>
    <row r="75" spans="1:26" s="24" customFormat="1" hidden="1" outlineLevel="1" x14ac:dyDescent="0.25">
      <c r="A75" s="51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23">
        <f t="shared" si="56"/>
        <v>0</v>
      </c>
      <c r="G75" s="2"/>
      <c r="H75" s="2"/>
      <c r="I75" s="2"/>
      <c r="J75" s="23">
        <f t="shared" si="57"/>
        <v>0</v>
      </c>
      <c r="K75" s="2"/>
      <c r="L75" s="2">
        <f t="shared" si="58"/>
        <v>0</v>
      </c>
      <c r="M75" s="2"/>
      <c r="N75" s="23">
        <f t="shared" si="59"/>
        <v>0</v>
      </c>
      <c r="O75" s="11"/>
      <c r="P75" s="2">
        <f>--512.41</f>
        <v>512.41</v>
      </c>
      <c r="Q75" s="2"/>
      <c r="R75" s="23">
        <f t="shared" si="60"/>
        <v>0</v>
      </c>
      <c r="S75" s="2"/>
      <c r="T75" s="2"/>
      <c r="U75" s="2"/>
      <c r="V75" s="23">
        <f t="shared" si="61"/>
        <v>0</v>
      </c>
      <c r="W75" s="2"/>
      <c r="X75" s="2">
        <f t="shared" si="62"/>
        <v>512.41</v>
      </c>
      <c r="Y75" s="2"/>
      <c r="Z75" s="23">
        <f t="shared" si="63"/>
        <v>0</v>
      </c>
    </row>
    <row r="76" spans="1:26" s="24" customFormat="1" hidden="1" outlineLevel="1" x14ac:dyDescent="0.25">
      <c r="A76" s="51"/>
      <c r="B76" s="11" t="str">
        <f>CONCATENATE("          ", "9160", " - ", "MISC. INCOME")</f>
        <v xml:space="preserve">          9160 - MISC. INCOME</v>
      </c>
      <c r="C76" s="11"/>
      <c r="D76" s="2">
        <f>--626.43</f>
        <v>626.42999999999995</v>
      </c>
      <c r="E76" s="2"/>
      <c r="F76" s="23">
        <f t="shared" si="56"/>
        <v>0</v>
      </c>
      <c r="G76" s="2"/>
      <c r="H76" s="2"/>
      <c r="I76" s="2"/>
      <c r="J76" s="23">
        <f t="shared" si="57"/>
        <v>0</v>
      </c>
      <c r="K76" s="2"/>
      <c r="L76" s="2">
        <f t="shared" si="58"/>
        <v>626.42999999999995</v>
      </c>
      <c r="M76" s="2"/>
      <c r="N76" s="23">
        <f t="shared" si="59"/>
        <v>0</v>
      </c>
      <c r="O76" s="11"/>
      <c r="P76" s="2">
        <f>--626.43</f>
        <v>626.42999999999995</v>
      </c>
      <c r="Q76" s="2"/>
      <c r="R76" s="23">
        <f t="shared" si="60"/>
        <v>0</v>
      </c>
      <c r="S76" s="2"/>
      <c r="T76" s="2"/>
      <c r="U76" s="2"/>
      <c r="V76" s="23">
        <f t="shared" si="61"/>
        <v>0</v>
      </c>
      <c r="W76" s="2"/>
      <c r="X76" s="2">
        <f t="shared" si="62"/>
        <v>626.42999999999995</v>
      </c>
      <c r="Y76" s="2"/>
      <c r="Z76" s="23">
        <f t="shared" si="63"/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10"/>
      <c r="B78" s="26" t="s">
        <v>3</v>
      </c>
      <c r="C78" s="26"/>
      <c r="D78" s="21">
        <f>+D16-D18+D74</f>
        <v>956.42999999999915</v>
      </c>
      <c r="E78" s="13"/>
      <c r="F78" s="20">
        <f>IF(D$12=0,0,D78/D$12)</f>
        <v>0</v>
      </c>
      <c r="G78" s="13"/>
      <c r="H78" s="21">
        <f>+H16-H18+H74</f>
        <v>-17155.461538461539</v>
      </c>
      <c r="I78" s="13"/>
      <c r="J78" s="20">
        <f>IF(H$12=0,0,H78/H$12)</f>
        <v>0</v>
      </c>
      <c r="K78" s="16"/>
      <c r="L78" s="21">
        <f>+D78-H78</f>
        <v>18111.891538461539</v>
      </c>
      <c r="M78" s="16"/>
      <c r="N78" s="20">
        <f>IF(H78=0,0,L78/H78)</f>
        <v>-1.0557507588971442</v>
      </c>
      <c r="O78" s="25"/>
      <c r="P78" s="21">
        <f>+P16-P18+P74</f>
        <v>-29183.369999999992</v>
      </c>
      <c r="Q78" s="13"/>
      <c r="R78" s="20">
        <f>IF(P$12=0,0,P78/P$12)</f>
        <v>0</v>
      </c>
      <c r="S78" s="13"/>
      <c r="T78" s="21">
        <f>+T16-T18+T74</f>
        <v>-34230.538461538461</v>
      </c>
      <c r="U78" s="13"/>
      <c r="V78" s="20">
        <f>IF(T$12=0,0,T78/T$12)</f>
        <v>0</v>
      </c>
      <c r="W78" s="16"/>
      <c r="X78" s="21">
        <f>+P78-T78</f>
        <v>5047.1684615384693</v>
      </c>
      <c r="Y78" s="16"/>
      <c r="Z78" s="20">
        <f>IF(T78=0,0,X78/T78)</f>
        <v>-0.14744636480695397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2" customFormat="1" ht="15.75" thickBot="1" x14ac:dyDescent="0.3">
      <c r="A82" s="10"/>
      <c r="B82" s="26" t="s">
        <v>4</v>
      </c>
      <c r="C82" s="26"/>
      <c r="D82" s="33">
        <f>+D78-D80</f>
        <v>956.42999999999915</v>
      </c>
      <c r="E82" s="13"/>
      <c r="F82" s="31">
        <f>IF(D$12=0,0,D82/D$12)</f>
        <v>0</v>
      </c>
      <c r="G82" s="13"/>
      <c r="H82" s="33">
        <f>+H78-H80</f>
        <v>-17155.461538461539</v>
      </c>
      <c r="I82" s="13"/>
      <c r="J82" s="31">
        <f>IF(H$12=0,0,H82/H$12)</f>
        <v>0</v>
      </c>
      <c r="K82" s="16"/>
      <c r="L82" s="33">
        <f>D82-H82</f>
        <v>18111.891538461539</v>
      </c>
      <c r="M82" s="16"/>
      <c r="N82" s="31">
        <f>IF(H82=0,0,L82/H82)</f>
        <v>-1.0557507588971442</v>
      </c>
      <c r="O82" s="25"/>
      <c r="P82" s="33">
        <f>+P78-P80</f>
        <v>-29183.369999999992</v>
      </c>
      <c r="Q82" s="13"/>
      <c r="R82" s="31">
        <f>IF(P$12=0,0,P82/P$12)</f>
        <v>0</v>
      </c>
      <c r="S82" s="13"/>
      <c r="T82" s="33">
        <f>+T78-T80</f>
        <v>-34230.538461538461</v>
      </c>
      <c r="U82" s="13"/>
      <c r="V82" s="31">
        <f>IF(T$12=0,0,T82/T$12)</f>
        <v>0</v>
      </c>
      <c r="W82" s="16"/>
      <c r="X82" s="33">
        <f>P82-T82</f>
        <v>5047.1684615384693</v>
      </c>
      <c r="Y82" s="16"/>
      <c r="Z82" s="31">
        <f>IF(T82=0,0,X82/T82)</f>
        <v>-0.14744636480695397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ht="15.75" thickBot="1" x14ac:dyDescent="0.3">
      <c r="A85" s="10"/>
      <c r="B85" s="26" t="s">
        <v>5</v>
      </c>
      <c r="C85" s="26"/>
      <c r="D85" s="32">
        <f>SUM(D82:D84)</f>
        <v>956.42999999999915</v>
      </c>
      <c r="E85" s="13"/>
      <c r="F85" s="35">
        <f>IF(D$12=0,0,D85/D$12)</f>
        <v>0</v>
      </c>
      <c r="G85" s="13"/>
      <c r="H85" s="32">
        <f>SUM(H82:H84)</f>
        <v>-17155.461538461539</v>
      </c>
      <c r="I85" s="13"/>
      <c r="J85" s="35">
        <f>IF(H$12=0,0,H85/H$12)</f>
        <v>0</v>
      </c>
      <c r="K85" s="16"/>
      <c r="L85" s="32">
        <f>+D85-H85</f>
        <v>18111.891538461539</v>
      </c>
      <c r="M85" s="16"/>
      <c r="N85" s="35">
        <f>IF(H85=0,0,L85/H85)</f>
        <v>-1.0557507588971442</v>
      </c>
      <c r="O85" s="25"/>
      <c r="P85" s="32">
        <f>SUM(P82:P84)</f>
        <v>-29183.369999999992</v>
      </c>
      <c r="Q85" s="13"/>
      <c r="R85" s="35">
        <f>IF(P$12=0,0,P85/P$12)</f>
        <v>0</v>
      </c>
      <c r="S85" s="13"/>
      <c r="T85" s="32">
        <f>SUM(T82:T84)</f>
        <v>-34230.538461538461</v>
      </c>
      <c r="U85" s="13"/>
      <c r="V85" s="35">
        <f>IF(T$12=0,0,T85/T$12)</f>
        <v>0</v>
      </c>
      <c r="W85" s="16"/>
      <c r="X85" s="32">
        <f>+P85-T85</f>
        <v>5047.1684615384693</v>
      </c>
      <c r="Y85" s="16"/>
      <c r="Z85" s="35">
        <f>IF(T85=0,0,X85/T85)</f>
        <v>-0.14744636480695397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9">
        <v>44113.689819097221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","412", " - ", "Chartroom")</f>
        <v>Department 412 - Chartroom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3">
        <f t="shared" si="4"/>
        <v>0</v>
      </c>
      <c r="G16" s="2"/>
      <c r="H16" s="2">
        <v>0</v>
      </c>
      <c r="I16" s="2"/>
      <c r="J16" s="23">
        <f t="shared" si="5"/>
        <v>0</v>
      </c>
      <c r="K16" s="2"/>
      <c r="L16" s="2">
        <f t="shared" si="6"/>
        <v>0</v>
      </c>
      <c r="M16" s="2"/>
      <c r="N16" s="23">
        <f t="shared" si="7"/>
        <v>0</v>
      </c>
      <c r="O16" s="11"/>
      <c r="P16" s="2"/>
      <c r="Q16" s="2"/>
      <c r="R16" s="23">
        <f t="shared" si="8"/>
        <v>0</v>
      </c>
      <c r="S16" s="2"/>
      <c r="T16" s="2">
        <v>0</v>
      </c>
      <c r="U16" s="2"/>
      <c r="V16" s="23">
        <f t="shared" si="9"/>
        <v>0</v>
      </c>
      <c r="W16" s="2"/>
      <c r="X16" s="2">
        <f t="shared" si="10"/>
        <v>0</v>
      </c>
      <c r="Y16" s="2"/>
      <c r="Z16" s="23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0</v>
      </c>
      <c r="I18" s="13"/>
      <c r="J18" s="20">
        <f>IF(H$12=0,0,H18/H$12)</f>
        <v>0</v>
      </c>
      <c r="K18" s="16"/>
      <c r="L18" s="21">
        <f>+D18-H18</f>
        <v>0</v>
      </c>
      <c r="M18" s="16"/>
      <c r="N18" s="20">
        <f>IF(H18=0,0,L18/H18)</f>
        <v>0</v>
      </c>
      <c r="O18" s="25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0</v>
      </c>
      <c r="U18" s="13"/>
      <c r="V18" s="20">
        <f>IF(T$12=0,0,T18/T$12)</f>
        <v>0</v>
      </c>
      <c r="W18" s="16"/>
      <c r="X18" s="21">
        <f>+P18-T18</f>
        <v>0</v>
      </c>
      <c r="Y18" s="16"/>
      <c r="Z18" s="20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>
        <f>SUM(OSRRefD22x_0)</f>
        <v>976.21999999999991</v>
      </c>
      <c r="E20" s="19"/>
      <c r="F20" s="30">
        <f t="shared" ref="F20:F29" si="12">IF(D$12=0,0,D20/D$12)</f>
        <v>0</v>
      </c>
      <c r="G20" s="19"/>
      <c r="H20" s="19">
        <f>SUM(OSRRefH22x_0)</f>
        <v>848</v>
      </c>
      <c r="I20" s="19"/>
      <c r="J20" s="30">
        <f t="shared" ref="J20:J29" si="13">IF(H$12=0,0,H20/H$12)</f>
        <v>0</v>
      </c>
      <c r="K20" s="4"/>
      <c r="L20" s="19">
        <f t="shared" ref="L20:L29" si="14">+D20-H20</f>
        <v>128.21999999999991</v>
      </c>
      <c r="M20" s="4"/>
      <c r="N20" s="30">
        <f t="shared" ref="N20:N29" si="15">IF(H20=0,0,L20/H20)</f>
        <v>0.15120283018867914</v>
      </c>
      <c r="O20" s="10"/>
      <c r="P20" s="19">
        <f>SUM(OSRRefP22x_0)</f>
        <v>2057.21</v>
      </c>
      <c r="Q20" s="19"/>
      <c r="R20" s="30">
        <f t="shared" ref="R20:R29" si="16">IF(P$12=0,0,P20/P$12)</f>
        <v>0</v>
      </c>
      <c r="S20" s="19"/>
      <c r="T20" s="19">
        <f>SUM(OSRRefT22x_0)</f>
        <v>1696</v>
      </c>
      <c r="U20" s="19"/>
      <c r="V20" s="30">
        <f t="shared" ref="V20:V29" si="17">IF(T$12=0,0,T20/T$12)</f>
        <v>0</v>
      </c>
      <c r="W20" s="4"/>
      <c r="X20" s="19">
        <f t="shared" ref="X20:X29" si="18">+P20-T20</f>
        <v>361.21000000000004</v>
      </c>
      <c r="Y20" s="4"/>
      <c r="Z20" s="30">
        <f t="shared" ref="Z20:Z29" si="19">IF(T20=0,0,X20/T20)</f>
        <v>0.21297759433962266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7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7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7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7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7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7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9" customFormat="1" outlineLevel="1" collapsed="1" x14ac:dyDescent="0.25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9" customFormat="1" outlineLevel="1" collapsed="1" x14ac:dyDescent="0.25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9" customFormat="1" outlineLevel="1" collapsed="1" x14ac:dyDescent="0.25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9" customFormat="1" outlineLevel="1" collapsed="1" x14ac:dyDescent="0.25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690.36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-157.63999999999999</v>
      </c>
      <c r="M45" s="1"/>
      <c r="N45" s="5">
        <f t="shared" si="31"/>
        <v>-0.18589622641509432</v>
      </c>
      <c r="O45" s="14"/>
      <c r="P45" s="1">
        <f>SUM(OSRRefP22_4x_0)</f>
        <v>1380.72</v>
      </c>
      <c r="Q45" s="1"/>
      <c r="R45" s="5">
        <f t="shared" si="32"/>
        <v>0</v>
      </c>
      <c r="S45" s="1"/>
      <c r="T45" s="1">
        <f>SUM(OSRRefT22_4x_0)</f>
        <v>1696</v>
      </c>
      <c r="U45" s="1"/>
      <c r="V45" s="5">
        <f t="shared" si="33"/>
        <v>0</v>
      </c>
      <c r="W45" s="1"/>
      <c r="X45" s="1">
        <f t="shared" si="34"/>
        <v>-315.27999999999997</v>
      </c>
      <c r="Y45" s="1"/>
      <c r="Z45" s="5">
        <f t="shared" si="35"/>
        <v>-0.18589622641509432</v>
      </c>
    </row>
    <row r="46" spans="1:26" s="24" customFormat="1" hidden="1" outlineLevel="2" x14ac:dyDescent="0.25">
      <c r="A46" s="27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690.36</v>
      </c>
      <c r="E46" s="2"/>
      <c r="F46" s="7">
        <f t="shared" si="28"/>
        <v>0</v>
      </c>
      <c r="G46" s="2"/>
      <c r="H46" s="6">
        <v>298</v>
      </c>
      <c r="I46" s="2"/>
      <c r="J46" s="7">
        <f t="shared" si="29"/>
        <v>0</v>
      </c>
      <c r="K46" s="2"/>
      <c r="L46" s="6">
        <f t="shared" si="30"/>
        <v>392.36</v>
      </c>
      <c r="M46" s="2"/>
      <c r="N46" s="7">
        <f t="shared" si="31"/>
        <v>1.3166442953020134</v>
      </c>
      <c r="O46" s="11"/>
      <c r="P46" s="6">
        <v>1380.72</v>
      </c>
      <c r="Q46" s="2"/>
      <c r="R46" s="7">
        <f t="shared" si="32"/>
        <v>0</v>
      </c>
      <c r="S46" s="2"/>
      <c r="T46" s="6">
        <v>596</v>
      </c>
      <c r="U46" s="2"/>
      <c r="V46" s="7">
        <f t="shared" si="33"/>
        <v>0</v>
      </c>
      <c r="W46" s="2"/>
      <c r="X46" s="6">
        <f t="shared" si="34"/>
        <v>784.72</v>
      </c>
      <c r="Y46" s="2"/>
      <c r="Z46" s="7">
        <f t="shared" si="35"/>
        <v>1.3166442953020134</v>
      </c>
    </row>
    <row r="47" spans="1:26" s="24" customFormat="1" hidden="1" outlineLevel="2" x14ac:dyDescent="0.25">
      <c r="A47" s="27"/>
      <c r="B47" s="11" t="str">
        <f>CONCATENATE("          ", "6326", " - ", "VEHICLES DEPRECIATION EXPENSE")</f>
        <v xml:space="preserve">          6326 - VEHICLES DEPRECIATION EXPENSE</v>
      </c>
      <c r="C47" s="11"/>
      <c r="D47" s="6"/>
      <c r="E47" s="2"/>
      <c r="F47" s="7">
        <f t="shared" si="28"/>
        <v>0</v>
      </c>
      <c r="G47" s="2"/>
      <c r="H47" s="6">
        <v>550</v>
      </c>
      <c r="I47" s="2"/>
      <c r="J47" s="7">
        <f t="shared" si="29"/>
        <v>0</v>
      </c>
      <c r="K47" s="2"/>
      <c r="L47" s="6">
        <f t="shared" si="30"/>
        <v>-550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1100</v>
      </c>
      <c r="U47" s="2"/>
      <c r="V47" s="7">
        <f t="shared" si="33"/>
        <v>0</v>
      </c>
      <c r="W47" s="2"/>
      <c r="X47" s="6">
        <f t="shared" si="34"/>
        <v>-1100</v>
      </c>
      <c r="Y47" s="2"/>
      <c r="Z47" s="7">
        <f t="shared" si="35"/>
        <v>-1</v>
      </c>
    </row>
    <row r="48" spans="1:26" s="29" customFormat="1" outlineLevel="1" collapsed="1" x14ac:dyDescent="0.25">
      <c r="A48" s="28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7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0</v>
      </c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/>
      <c r="Q49" s="2"/>
      <c r="R49" s="7">
        <f t="shared" si="40"/>
        <v>0</v>
      </c>
      <c r="S49" s="2"/>
      <c r="T49" s="6">
        <v>0</v>
      </c>
      <c r="U49" s="2"/>
      <c r="V49" s="7">
        <f t="shared" si="41"/>
        <v>0</v>
      </c>
      <c r="W49" s="2"/>
      <c r="X49" s="6">
        <f t="shared" si="42"/>
        <v>0</v>
      </c>
      <c r="Y49" s="2"/>
      <c r="Z49" s="7">
        <f t="shared" si="43"/>
        <v>0</v>
      </c>
    </row>
    <row r="50" spans="1:26" s="29" customFormat="1" outlineLevel="1" collapsed="1" x14ac:dyDescent="0.25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7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6"/>
        <v>0</v>
      </c>
      <c r="G51" s="2"/>
      <c r="H51" s="6">
        <v>0</v>
      </c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>
        <v>16.239999999999998</v>
      </c>
      <c r="Q51" s="2"/>
      <c r="R51" s="7">
        <f t="shared" si="40"/>
        <v>0</v>
      </c>
      <c r="S51" s="2"/>
      <c r="T51" s="6">
        <v>0</v>
      </c>
      <c r="U51" s="2"/>
      <c r="V51" s="7">
        <f t="shared" si="41"/>
        <v>0</v>
      </c>
      <c r="W51" s="2"/>
      <c r="X51" s="6">
        <f t="shared" si="42"/>
        <v>16.239999999999998</v>
      </c>
      <c r="Y51" s="2"/>
      <c r="Z51" s="7">
        <f t="shared" si="43"/>
        <v>0</v>
      </c>
    </row>
    <row r="52" spans="1:26" s="29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0</v>
      </c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0</v>
      </c>
      <c r="U53" s="2"/>
      <c r="V53" s="7">
        <f t="shared" si="41"/>
        <v>0</v>
      </c>
      <c r="W53" s="2"/>
      <c r="X53" s="6">
        <f t="shared" si="42"/>
        <v>0</v>
      </c>
      <c r="Y53" s="2"/>
      <c r="Z53" s="7">
        <f t="shared" si="43"/>
        <v>0</v>
      </c>
    </row>
    <row r="54" spans="1:26" s="29" customFormat="1" outlineLevel="1" collapsed="1" x14ac:dyDescent="0.25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157.19999999999999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157.19999999999999</v>
      </c>
      <c r="M54" s="1"/>
      <c r="N54" s="5">
        <f t="shared" si="39"/>
        <v>0</v>
      </c>
      <c r="O54" s="14"/>
      <c r="P54" s="1">
        <f>SUM(OSRRefP22_8x_0)</f>
        <v>157.19999999999999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157.19999999999999</v>
      </c>
      <c r="Y54" s="1"/>
      <c r="Z54" s="5">
        <f t="shared" si="43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>
        <v>157.19999999999999</v>
      </c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157.19999999999999</v>
      </c>
      <c r="M55" s="2"/>
      <c r="N55" s="7">
        <f t="shared" si="39"/>
        <v>0</v>
      </c>
      <c r="O55" s="11"/>
      <c r="P55" s="6">
        <v>157.19999999999999</v>
      </c>
      <c r="Q55" s="2"/>
      <c r="R55" s="7">
        <f t="shared" si="40"/>
        <v>0</v>
      </c>
      <c r="S55" s="2"/>
      <c r="T55" s="6"/>
      <c r="U55" s="2"/>
      <c r="V55" s="7">
        <f t="shared" si="41"/>
        <v>0</v>
      </c>
      <c r="W55" s="2"/>
      <c r="X55" s="6">
        <f t="shared" si="42"/>
        <v>157.19999999999999</v>
      </c>
      <c r="Y55" s="2"/>
      <c r="Z55" s="7">
        <f t="shared" si="43"/>
        <v>0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9" customFormat="1" outlineLevel="1" collapsed="1" x14ac:dyDescent="0.25">
      <c r="A57" s="28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7"/>
      <c r="B58" s="11" t="str">
        <f>CONCATENATE("          ", "6254", " - ", "ROYALTY &amp; COMMISSIONS")</f>
        <v xml:space="preserve">          6254 - ROYALTY &amp; COMMISSIONS</v>
      </c>
      <c r="C58" s="11"/>
      <c r="D58" s="6"/>
      <c r="E58" s="2"/>
      <c r="F58" s="7">
        <f t="shared" si="44"/>
        <v>0</v>
      </c>
      <c r="G58" s="2"/>
      <c r="H58" s="6">
        <v>0</v>
      </c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0</v>
      </c>
      <c r="U58" s="2"/>
      <c r="V58" s="7">
        <f t="shared" si="49"/>
        <v>0</v>
      </c>
      <c r="W58" s="2"/>
      <c r="X58" s="6">
        <f t="shared" si="50"/>
        <v>0</v>
      </c>
      <c r="Y58" s="2"/>
      <c r="Z58" s="7">
        <f t="shared" si="51"/>
        <v>0</v>
      </c>
    </row>
    <row r="59" spans="1:26" s="29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4"/>
        <v>0</v>
      </c>
      <c r="G60" s="2"/>
      <c r="H60" s="6">
        <v>0</v>
      </c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0</v>
      </c>
      <c r="U60" s="2"/>
      <c r="V60" s="7">
        <f t="shared" si="49"/>
        <v>0</v>
      </c>
      <c r="W60" s="2"/>
      <c r="X60" s="6">
        <f t="shared" si="50"/>
        <v>0</v>
      </c>
      <c r="Y60" s="2"/>
      <c r="Z60" s="7">
        <f t="shared" si="51"/>
        <v>0</v>
      </c>
    </row>
    <row r="61" spans="1:26" s="24" customFormat="1" hidden="1" outlineLevel="2" x14ac:dyDescent="0.25">
      <c r="A61" s="27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7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44"/>
        <v>0</v>
      </c>
      <c r="G62" s="2"/>
      <c r="H62" s="6">
        <v>0</v>
      </c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4" customFormat="1" hidden="1" outlineLevel="2" x14ac:dyDescent="0.25">
      <c r="A63" s="27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4"/>
        <v>0</v>
      </c>
      <c r="G63" s="2"/>
      <c r="H63" s="6">
        <v>0</v>
      </c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320.58</v>
      </c>
      <c r="Q63" s="2"/>
      <c r="R63" s="7">
        <f t="shared" si="48"/>
        <v>0</v>
      </c>
      <c r="S63" s="2"/>
      <c r="T63" s="6">
        <v>0</v>
      </c>
      <c r="U63" s="2"/>
      <c r="V63" s="7">
        <f t="shared" si="49"/>
        <v>0</v>
      </c>
      <c r="W63" s="2"/>
      <c r="X63" s="6">
        <f t="shared" si="50"/>
        <v>320.58</v>
      </c>
      <c r="Y63" s="2"/>
      <c r="Z63" s="7">
        <f t="shared" si="51"/>
        <v>0</v>
      </c>
    </row>
    <row r="64" spans="1:26" s="29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7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2"/>
        <v>0</v>
      </c>
      <c r="G65" s="2"/>
      <c r="H65" s="6">
        <v>0</v>
      </c>
      <c r="I65" s="2"/>
      <c r="J65" s="7">
        <f t="shared" si="53"/>
        <v>0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/>
      <c r="Q65" s="2"/>
      <c r="R65" s="7">
        <f t="shared" si="56"/>
        <v>0</v>
      </c>
      <c r="S65" s="2"/>
      <c r="T65" s="6">
        <v>0</v>
      </c>
      <c r="U65" s="2"/>
      <c r="V65" s="7">
        <f t="shared" si="57"/>
        <v>0</v>
      </c>
      <c r="W65" s="2"/>
      <c r="X65" s="6">
        <f t="shared" si="58"/>
        <v>0</v>
      </c>
      <c r="Y65" s="2"/>
      <c r="Z65" s="7">
        <f t="shared" si="59"/>
        <v>0</v>
      </c>
    </row>
    <row r="66" spans="1:26" s="24" customFormat="1" hidden="1" outlineLevel="2" x14ac:dyDescent="0.25">
      <c r="A66" s="27"/>
      <c r="B66" s="11" t="str">
        <f>CONCATENATE("          ", "6241", " - ", "OFFICE EXPENSE")</f>
        <v xml:space="preserve">          6241 - OFFICE EXPENSE</v>
      </c>
      <c r="C66" s="11"/>
      <c r="D66" s="6"/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24" customFormat="1" hidden="1" outlineLevel="2" x14ac:dyDescent="0.25">
      <c r="A67" s="27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52"/>
        <v>0</v>
      </c>
      <c r="G67" s="2"/>
      <c r="H67" s="6">
        <v>0</v>
      </c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/>
      <c r="Q67" s="2"/>
      <c r="R67" s="7">
        <f t="shared" si="56"/>
        <v>0</v>
      </c>
      <c r="S67" s="2"/>
      <c r="T67" s="6">
        <v>0</v>
      </c>
      <c r="U67" s="2"/>
      <c r="V67" s="7">
        <f t="shared" si="57"/>
        <v>0</v>
      </c>
      <c r="W67" s="2"/>
      <c r="X67" s="6">
        <f t="shared" si="58"/>
        <v>0</v>
      </c>
      <c r="Y67" s="2"/>
      <c r="Z67" s="7">
        <f t="shared" si="59"/>
        <v>0</v>
      </c>
    </row>
    <row r="68" spans="1:26" s="24" customFormat="1" hidden="1" outlineLevel="2" x14ac:dyDescent="0.25">
      <c r="A68" s="27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52"/>
        <v>0</v>
      </c>
      <c r="G68" s="2"/>
      <c r="H68" s="6">
        <v>0</v>
      </c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/>
      <c r="Q68" s="2"/>
      <c r="R68" s="7">
        <f t="shared" si="56"/>
        <v>0</v>
      </c>
      <c r="S68" s="2"/>
      <c r="T68" s="6">
        <v>0</v>
      </c>
      <c r="U68" s="2"/>
      <c r="V68" s="7">
        <f t="shared" si="57"/>
        <v>0</v>
      </c>
      <c r="W68" s="2"/>
      <c r="X68" s="6">
        <f t="shared" si="58"/>
        <v>0</v>
      </c>
      <c r="Y68" s="2"/>
      <c r="Z68" s="7">
        <f t="shared" si="59"/>
        <v>0</v>
      </c>
    </row>
    <row r="69" spans="1:26" s="24" customFormat="1" hidden="1" outlineLevel="2" x14ac:dyDescent="0.25">
      <c r="A69" s="27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52"/>
        <v>0</v>
      </c>
      <c r="G69" s="2"/>
      <c r="H69" s="6">
        <v>0</v>
      </c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/>
      <c r="Q69" s="2"/>
      <c r="R69" s="7">
        <f t="shared" si="56"/>
        <v>0</v>
      </c>
      <c r="S69" s="2"/>
      <c r="T69" s="6">
        <v>0</v>
      </c>
      <c r="U69" s="2"/>
      <c r="V69" s="7">
        <f t="shared" si="57"/>
        <v>0</v>
      </c>
      <c r="W69" s="2"/>
      <c r="X69" s="6">
        <f t="shared" si="58"/>
        <v>0</v>
      </c>
      <c r="Y69" s="2"/>
      <c r="Z69" s="7">
        <f t="shared" si="59"/>
        <v>0</v>
      </c>
    </row>
    <row r="70" spans="1:26" s="29" customFormat="1" outlineLevel="1" collapsed="1" x14ac:dyDescent="0.25">
      <c r="A70" s="28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128.66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128.66</v>
      </c>
      <c r="M70" s="1"/>
      <c r="N70" s="5">
        <f t="shared" ref="N70:N72" si="63">IF(H70=0,0,L70/H70)</f>
        <v>0</v>
      </c>
      <c r="O70" s="14"/>
      <c r="P70" s="1">
        <f>SUM(OSRRefP22_12x_0)</f>
        <v>182.47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182.47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7"/>
      <c r="B71" s="11" t="str">
        <f>CONCATENATE("          ", "6303", " - ", "DATA PHONE LINES")</f>
        <v xml:space="preserve">          6303 - DATA PHONE LINES</v>
      </c>
      <c r="C71" s="11"/>
      <c r="D71" s="6"/>
      <c r="E71" s="2"/>
      <c r="F71" s="7">
        <f t="shared" si="60"/>
        <v>0</v>
      </c>
      <c r="G71" s="2"/>
      <c r="H71" s="6">
        <v>0</v>
      </c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/>
      <c r="Q71" s="2"/>
      <c r="R71" s="7">
        <f t="shared" si="64"/>
        <v>0</v>
      </c>
      <c r="S71" s="2"/>
      <c r="T71" s="6">
        <v>0</v>
      </c>
      <c r="U71" s="2"/>
      <c r="V71" s="7">
        <f t="shared" si="65"/>
        <v>0</v>
      </c>
      <c r="W71" s="2"/>
      <c r="X71" s="6">
        <f t="shared" si="66"/>
        <v>0</v>
      </c>
      <c r="Y71" s="2"/>
      <c r="Z71" s="7">
        <f t="shared" si="67"/>
        <v>0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128.66</v>
      </c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128.66</v>
      </c>
      <c r="M72" s="2"/>
      <c r="N72" s="7">
        <f t="shared" si="63"/>
        <v>0</v>
      </c>
      <c r="O72" s="11"/>
      <c r="P72" s="6">
        <v>182.47</v>
      </c>
      <c r="Q72" s="2"/>
      <c r="R72" s="7">
        <f t="shared" si="64"/>
        <v>0</v>
      </c>
      <c r="S72" s="2"/>
      <c r="T72" s="6"/>
      <c r="U72" s="2"/>
      <c r="V72" s="7">
        <f t="shared" si="65"/>
        <v>0</v>
      </c>
      <c r="W72" s="2"/>
      <c r="X72" s="6">
        <f t="shared" si="66"/>
        <v>182.47</v>
      </c>
      <c r="Y72" s="2"/>
      <c r="Z72" s="7">
        <f t="shared" si="67"/>
        <v>0</v>
      </c>
    </row>
    <row r="73" spans="1:26" s="29" customFormat="1" outlineLevel="1" collapsed="1" x14ac:dyDescent="0.25">
      <c r="A73" s="28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7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68"/>
        <v>0</v>
      </c>
      <c r="G74" s="2"/>
      <c r="H74" s="6">
        <v>0</v>
      </c>
      <c r="I74" s="2"/>
      <c r="J74" s="7">
        <f t="shared" si="69"/>
        <v>0</v>
      </c>
      <c r="K74" s="2"/>
      <c r="L74" s="6">
        <f t="shared" si="70"/>
        <v>0</v>
      </c>
      <c r="M74" s="2"/>
      <c r="N74" s="7">
        <f t="shared" si="71"/>
        <v>0</v>
      </c>
      <c r="O74" s="11"/>
      <c r="P74" s="6"/>
      <c r="Q74" s="2"/>
      <c r="R74" s="7">
        <f t="shared" si="72"/>
        <v>0</v>
      </c>
      <c r="S74" s="2"/>
      <c r="T74" s="6">
        <v>0</v>
      </c>
      <c r="U74" s="2"/>
      <c r="V74" s="7">
        <f t="shared" si="73"/>
        <v>0</v>
      </c>
      <c r="W74" s="2"/>
      <c r="X74" s="6">
        <f t="shared" si="74"/>
        <v>0</v>
      </c>
      <c r="Y74" s="2"/>
      <c r="Z74" s="7">
        <f t="shared" si="75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2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x14ac:dyDescent="0.25">
      <c r="A78" s="10"/>
      <c r="B78" s="26" t="s">
        <v>3</v>
      </c>
      <c r="C78" s="26"/>
      <c r="D78" s="21">
        <f>+D18-D20+D76</f>
        <v>-976.21999999999991</v>
      </c>
      <c r="E78" s="13"/>
      <c r="F78" s="20">
        <f>IF(D$12=0,0,D78/D$12)</f>
        <v>0</v>
      </c>
      <c r="G78" s="13"/>
      <c r="H78" s="21">
        <f>+H18-H20+H76</f>
        <v>-848</v>
      </c>
      <c r="I78" s="13"/>
      <c r="J78" s="20">
        <f>IF(H$12=0,0,H78/H$12)</f>
        <v>0</v>
      </c>
      <c r="K78" s="16"/>
      <c r="L78" s="21">
        <f>+D78-H78</f>
        <v>-128.21999999999991</v>
      </c>
      <c r="M78" s="16"/>
      <c r="N78" s="20">
        <f>IF(H78=0,0,L78/H78)</f>
        <v>0.15120283018867914</v>
      </c>
      <c r="O78" s="25"/>
      <c r="P78" s="21">
        <f>+P18-P20+P76</f>
        <v>-2057.21</v>
      </c>
      <c r="Q78" s="13"/>
      <c r="R78" s="20">
        <f>IF(P$12=0,0,P78/P$12)</f>
        <v>0</v>
      </c>
      <c r="S78" s="13"/>
      <c r="T78" s="21">
        <f>+T18-T20+T76</f>
        <v>-1696</v>
      </c>
      <c r="U78" s="13"/>
      <c r="V78" s="20">
        <f>IF(T$12=0,0,T78/T$12)</f>
        <v>0</v>
      </c>
      <c r="W78" s="16"/>
      <c r="X78" s="21">
        <f>+P78-T78</f>
        <v>-361.21000000000004</v>
      </c>
      <c r="Y78" s="16"/>
      <c r="Z78" s="20">
        <f>IF(T78=0,0,X78/T78)</f>
        <v>0.21297759433962266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2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2" customFormat="1" ht="15.75" thickBot="1" x14ac:dyDescent="0.3">
      <c r="A82" s="10"/>
      <c r="B82" s="26" t="s">
        <v>4</v>
      </c>
      <c r="C82" s="26"/>
      <c r="D82" s="33">
        <f>+D78-D80</f>
        <v>-976.21999999999991</v>
      </c>
      <c r="E82" s="13"/>
      <c r="F82" s="31">
        <f>IF(D$12=0,0,D82/D$12)</f>
        <v>0</v>
      </c>
      <c r="G82" s="13"/>
      <c r="H82" s="33">
        <f>+H78-H80</f>
        <v>-848</v>
      </c>
      <c r="I82" s="13"/>
      <c r="J82" s="31">
        <f>IF(H$12=0,0,H82/H$12)</f>
        <v>0</v>
      </c>
      <c r="K82" s="16"/>
      <c r="L82" s="33">
        <f>D82-H82</f>
        <v>-128.21999999999991</v>
      </c>
      <c r="M82" s="16"/>
      <c r="N82" s="31">
        <f>IF(H82=0,0,L82/H82)</f>
        <v>0.15120283018867914</v>
      </c>
      <c r="O82" s="25"/>
      <c r="P82" s="33">
        <f>+P78-P80</f>
        <v>-2057.21</v>
      </c>
      <c r="Q82" s="13"/>
      <c r="R82" s="31">
        <f>IF(P$12=0,0,P82/P$12)</f>
        <v>0</v>
      </c>
      <c r="S82" s="13"/>
      <c r="T82" s="33">
        <f>+T78-T80</f>
        <v>-1696</v>
      </c>
      <c r="U82" s="13"/>
      <c r="V82" s="31">
        <f>IF(T$12=0,0,T82/T$12)</f>
        <v>0</v>
      </c>
      <c r="W82" s="16"/>
      <c r="X82" s="33">
        <f>P82-T82</f>
        <v>-361.21000000000004</v>
      </c>
      <c r="Y82" s="16"/>
      <c r="Z82" s="31">
        <f>IF(T82=0,0,X82/T82)</f>
        <v>0.21297759433962266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2" customFormat="1" ht="15.75" thickBot="1" x14ac:dyDescent="0.3">
      <c r="A85" s="10"/>
      <c r="B85" s="26" t="s">
        <v>5</v>
      </c>
      <c r="C85" s="26"/>
      <c r="D85" s="32">
        <f>SUM(D82:D84)</f>
        <v>-976.21999999999991</v>
      </c>
      <c r="E85" s="13"/>
      <c r="F85" s="35">
        <f>IF(D$12=0,0,D85/D$12)</f>
        <v>0</v>
      </c>
      <c r="G85" s="13"/>
      <c r="H85" s="32">
        <f>SUM(H82:H84)</f>
        <v>-848</v>
      </c>
      <c r="I85" s="13"/>
      <c r="J85" s="35">
        <f>IF(H$12=0,0,H85/H$12)</f>
        <v>0</v>
      </c>
      <c r="K85" s="16"/>
      <c r="L85" s="32">
        <f>+D85-H85</f>
        <v>-128.21999999999991</v>
      </c>
      <c r="M85" s="16"/>
      <c r="N85" s="35">
        <f>IF(H85=0,0,L85/H85)</f>
        <v>0.15120283018867914</v>
      </c>
      <c r="O85" s="25"/>
      <c r="P85" s="32">
        <f>SUM(P82:P84)</f>
        <v>-2057.21</v>
      </c>
      <c r="Q85" s="13"/>
      <c r="R85" s="35">
        <f>IF(P$12=0,0,P85/P$12)</f>
        <v>0</v>
      </c>
      <c r="S85" s="13"/>
      <c r="T85" s="32">
        <f>SUM(T82:T84)</f>
        <v>-1696</v>
      </c>
      <c r="U85" s="13"/>
      <c r="V85" s="35">
        <f>IF(T$12=0,0,T85/T$12)</f>
        <v>0</v>
      </c>
      <c r="W85" s="16"/>
      <c r="X85" s="32">
        <f>+P85-T85</f>
        <v>-361.21000000000004</v>
      </c>
      <c r="Y85" s="16"/>
      <c r="Z85" s="35">
        <f>IF(T85=0,0,X85/T85)</f>
        <v>0.21297759433962266</v>
      </c>
    </row>
    <row r="86" spans="1:26" ht="15.75" thickTop="1" x14ac:dyDescent="0.25">
      <c r="A86" s="9"/>
      <c r="C86" s="9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9">
        <v>44113.689835960649</v>
      </c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2" t="s">
        <v>314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3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","420", " - ", "Catering")</f>
        <v>Department 420 - Catering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SUM(0)</f>
        <v>0</v>
      </c>
      <c r="E18" s="19"/>
      <c r="F18" s="30">
        <f>IF(D$12=0,0,D18/D$12)</f>
        <v>0</v>
      </c>
      <c r="G18" s="19"/>
      <c r="H18" s="19">
        <f>SUM(0)</f>
        <v>0</v>
      </c>
      <c r="I18" s="19"/>
      <c r="J18" s="30">
        <f>IF(H$12=0,0,H18/H$12)</f>
        <v>0</v>
      </c>
      <c r="K18" s="4"/>
      <c r="L18" s="19">
        <f>+D18-H18</f>
        <v>0</v>
      </c>
      <c r="M18" s="4"/>
      <c r="N18" s="30">
        <f>IF(H18=0,0,L18/H18)</f>
        <v>0</v>
      </c>
      <c r="O18" s="10"/>
      <c r="P18" s="19">
        <f>SUM(0)</f>
        <v>0</v>
      </c>
      <c r="Q18" s="19"/>
      <c r="R18" s="30">
        <f>IF(P$12=0,0,P18/P$12)</f>
        <v>0</v>
      </c>
      <c r="S18" s="19"/>
      <c r="T18" s="19">
        <f>SUM(0)</f>
        <v>0</v>
      </c>
      <c r="U18" s="19"/>
      <c r="V18" s="30">
        <f>IF(T$12=0,0,T18/T$12)</f>
        <v>0</v>
      </c>
      <c r="W18" s="4"/>
      <c r="X18" s="19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2" customFormat="1" x14ac:dyDescent="0.25">
      <c r="A22" s="10"/>
      <c r="B22" s="26" t="s">
        <v>3</v>
      </c>
      <c r="C22" s="26"/>
      <c r="D22" s="21">
        <f>+D16-D18+D20</f>
        <v>0</v>
      </c>
      <c r="E22" s="13"/>
      <c r="F22" s="20">
        <f>IF(D$12=0,0,D22/D$12)</f>
        <v>0</v>
      </c>
      <c r="G22" s="13"/>
      <c r="H22" s="21">
        <f>+H16-H18+H20</f>
        <v>0</v>
      </c>
      <c r="I22" s="13"/>
      <c r="J22" s="20">
        <f>IF(H$12=0,0,H22/H$12)</f>
        <v>0</v>
      </c>
      <c r="K22" s="16"/>
      <c r="L22" s="21">
        <f>+D22-H22</f>
        <v>0</v>
      </c>
      <c r="M22" s="16"/>
      <c r="N22" s="20">
        <f>IF(H22=0,0,L22/H22)</f>
        <v>0</v>
      </c>
      <c r="O22" s="25"/>
      <c r="P22" s="21">
        <f>+P16-P18+P20</f>
        <v>0</v>
      </c>
      <c r="Q22" s="13"/>
      <c r="R22" s="20">
        <f>IF(P$12=0,0,P22/P$12)</f>
        <v>0</v>
      </c>
      <c r="S22" s="13"/>
      <c r="T22" s="21">
        <f>+T16-T18+T20</f>
        <v>0</v>
      </c>
      <c r="U22" s="13"/>
      <c r="V22" s="20">
        <f>IF(T$12=0,0,T22/T$12)</f>
        <v>0</v>
      </c>
      <c r="W22" s="16"/>
      <c r="X22" s="21">
        <f>+P22-T22</f>
        <v>0</v>
      </c>
      <c r="Y22" s="16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1">
        <f>IF(D$12=0,0,D26/D$12)</f>
        <v>0</v>
      </c>
      <c r="G26" s="13"/>
      <c r="H26" s="33">
        <f>+H22-H24</f>
        <v>0</v>
      </c>
      <c r="I26" s="13"/>
      <c r="J26" s="31">
        <f>IF(H$12=0,0,H26/H$12)</f>
        <v>0</v>
      </c>
      <c r="K26" s="16"/>
      <c r="L26" s="33">
        <f>D26-H26</f>
        <v>0</v>
      </c>
      <c r="M26" s="16"/>
      <c r="N26" s="31">
        <f>IF(H26=0,0,L26/H26)</f>
        <v>0</v>
      </c>
      <c r="O26" s="25"/>
      <c r="P26" s="33">
        <f>+P22-P24</f>
        <v>0</v>
      </c>
      <c r="Q26" s="13"/>
      <c r="R26" s="31">
        <f>IF(P$12=0,0,P26/P$12)</f>
        <v>0</v>
      </c>
      <c r="S26" s="13"/>
      <c r="T26" s="33">
        <f>+T22-T24</f>
        <v>0</v>
      </c>
      <c r="U26" s="13"/>
      <c r="V26" s="31">
        <f>IF(T$12=0,0,T26/T$12)</f>
        <v>0</v>
      </c>
      <c r="W26" s="16"/>
      <c r="X26" s="33">
        <f>P26-T26</f>
        <v>0</v>
      </c>
      <c r="Y26" s="16"/>
      <c r="Z26" s="31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ht="15.75" thickBot="1" x14ac:dyDescent="0.3">
      <c r="A29" s="10"/>
      <c r="B29" s="26" t="s">
        <v>5</v>
      </c>
      <c r="C29" s="26"/>
      <c r="D29" s="32">
        <f>SUM(D26:D28)</f>
        <v>0</v>
      </c>
      <c r="E29" s="13"/>
      <c r="F29" s="35">
        <f>IF(D$12=0,0,D29/D$12)</f>
        <v>0</v>
      </c>
      <c r="G29" s="13"/>
      <c r="H29" s="32">
        <f>SUM(H26:H28)</f>
        <v>0</v>
      </c>
      <c r="I29" s="13"/>
      <c r="J29" s="35">
        <f>IF(H$12=0,0,H29/H$12)</f>
        <v>0</v>
      </c>
      <c r="K29" s="16"/>
      <c r="L29" s="32">
        <f>+D29-H29</f>
        <v>0</v>
      </c>
      <c r="M29" s="16"/>
      <c r="N29" s="35">
        <f>IF(H29=0,0,L29/H29)</f>
        <v>0</v>
      </c>
      <c r="O29" s="25"/>
      <c r="P29" s="32">
        <f>SUM(P26:P28)</f>
        <v>0</v>
      </c>
      <c r="Q29" s="13"/>
      <c r="R29" s="35">
        <f>IF(P$12=0,0,P29/P$12)</f>
        <v>0</v>
      </c>
      <c r="S29" s="13"/>
      <c r="T29" s="32">
        <f>SUM(T26:T28)</f>
        <v>0</v>
      </c>
      <c r="U29" s="13"/>
      <c r="V29" s="35">
        <f>IF(T$12=0,0,T29/T$12)</f>
        <v>0</v>
      </c>
      <c r="W29" s="16"/>
      <c r="X29" s="32">
        <f>+P29-T29</f>
        <v>0</v>
      </c>
      <c r="Y29" s="16"/>
      <c r="Z29" s="35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59">
        <v>44113.689933831018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62" t="s">
        <v>314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3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","413", " - ", "Beach Walk")</f>
        <v>Department 413 - Beach Walk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 t="shared" ref="P13:P14" si="5"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3"/>
      <c r="G14" s="2"/>
      <c r="H14" s="2">
        <v>0</v>
      </c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 t="shared" si="5"/>
        <v>0</v>
      </c>
      <c r="Q14" s="2"/>
      <c r="R14" s="23"/>
      <c r="S14" s="2"/>
      <c r="T14" s="2">
        <v>0</v>
      </c>
      <c r="U14" s="2"/>
      <c r="V14" s="23"/>
      <c r="W14" s="2"/>
      <c r="X14" s="2">
        <f t="shared" si="2"/>
        <v>0</v>
      </c>
      <c r="Y14" s="2"/>
      <c r="Z14" s="23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3">
        <f t="shared" si="6"/>
        <v>0</v>
      </c>
      <c r="G17" s="2"/>
      <c r="H17" s="2">
        <v>0</v>
      </c>
      <c r="I17" s="2"/>
      <c r="J17" s="23">
        <f t="shared" si="7"/>
        <v>0</v>
      </c>
      <c r="K17" s="2"/>
      <c r="L17" s="2">
        <f t="shared" si="8"/>
        <v>0</v>
      </c>
      <c r="M17" s="2"/>
      <c r="N17" s="23">
        <f t="shared" si="9"/>
        <v>0</v>
      </c>
      <c r="O17" s="11"/>
      <c r="P17" s="2"/>
      <c r="Q17" s="2"/>
      <c r="R17" s="23">
        <f t="shared" si="10"/>
        <v>0</v>
      </c>
      <c r="S17" s="2"/>
      <c r="T17" s="2">
        <v>0</v>
      </c>
      <c r="U17" s="2"/>
      <c r="V17" s="23">
        <f t="shared" si="11"/>
        <v>0</v>
      </c>
      <c r="W17" s="2"/>
      <c r="X17" s="2">
        <f t="shared" si="12"/>
        <v>0</v>
      </c>
      <c r="Y17" s="2"/>
      <c r="Z17" s="23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2" customFormat="1" x14ac:dyDescent="0.25">
      <c r="A19" s="10"/>
      <c r="B19" s="26" t="s">
        <v>6</v>
      </c>
      <c r="C19" s="26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5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5" t="s">
        <v>9</v>
      </c>
      <c r="C21" s="10"/>
      <c r="D21" s="19">
        <f>SUM(OSRRefD22x_0)</f>
        <v>157.63</v>
      </c>
      <c r="E21" s="19"/>
      <c r="F21" s="30">
        <f t="shared" ref="F21:F31" si="14">IF(D$12=0,0,D21/D$12)</f>
        <v>0</v>
      </c>
      <c r="G21" s="19"/>
      <c r="H21" s="19">
        <f>SUM(OSRRefH22x_0)</f>
        <v>630</v>
      </c>
      <c r="I21" s="19"/>
      <c r="J21" s="30">
        <f t="shared" ref="J21:J31" si="15">IF(H$12=0,0,H21/H$12)</f>
        <v>0</v>
      </c>
      <c r="K21" s="4"/>
      <c r="L21" s="19">
        <f t="shared" ref="L21:L31" si="16">+D21-H21</f>
        <v>-472.37</v>
      </c>
      <c r="M21" s="4"/>
      <c r="N21" s="30">
        <f t="shared" ref="N21:N31" si="17">IF(H21=0,0,L21/H21)</f>
        <v>-0.74979365079365079</v>
      </c>
      <c r="O21" s="10"/>
      <c r="P21" s="19">
        <f>SUM(OSRRefP22x_0)</f>
        <v>4276.1899999999996</v>
      </c>
      <c r="Q21" s="19"/>
      <c r="R21" s="30">
        <f t="shared" ref="R21:R31" si="18">IF(P$12=0,0,P21/P$12)</f>
        <v>0</v>
      </c>
      <c r="S21" s="19"/>
      <c r="T21" s="19">
        <f>SUM(OSRRefT22x_0)</f>
        <v>1260</v>
      </c>
      <c r="U21" s="19"/>
      <c r="V21" s="30">
        <f t="shared" ref="V21:V31" si="19">IF(T$12=0,0,T21/T$12)</f>
        <v>0</v>
      </c>
      <c r="W21" s="4"/>
      <c r="X21" s="19">
        <f t="shared" ref="X21:X31" si="20">+P21-T21</f>
        <v>3016.1899999999996</v>
      </c>
      <c r="Y21" s="4"/>
      <c r="Z21" s="30">
        <f t="shared" ref="Z21:Z31" si="21">IF(T21=0,0,X21/T21)</f>
        <v>2.3938015873015868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191.51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191.51</v>
      </c>
      <c r="Y23" s="2"/>
      <c r="Z23" s="7">
        <f t="shared" si="21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718.51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718.51</v>
      </c>
      <c r="Y25" s="2"/>
      <c r="Z25" s="7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377.03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377.03</v>
      </c>
      <c r="Y27" s="2"/>
      <c r="Z27" s="7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93.89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93.89</v>
      </c>
      <c r="Y29" s="2"/>
      <c r="Z29" s="7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112.49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112.49</v>
      </c>
      <c r="Y30" s="2"/>
      <c r="Z30" s="7">
        <f t="shared" si="21"/>
        <v>0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0</v>
      </c>
      <c r="Y31" s="2"/>
      <c r="Z31" s="7">
        <f t="shared" si="21"/>
        <v>0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>
        <v>2259.48</v>
      </c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2259.48</v>
      </c>
      <c r="Y34" s="2"/>
      <c r="Z34" s="7">
        <f t="shared" si="29"/>
        <v>0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5" si="30">IF(D$12=0,0,D43/D$12)</f>
        <v>0</v>
      </c>
      <c r="G43" s="1"/>
      <c r="H43" s="1">
        <f>SUM(OSRRefH22_2x_0)</f>
        <v>0</v>
      </c>
      <c r="I43" s="1"/>
      <c r="J43" s="5">
        <f t="shared" ref="J43:J55" si="31">IF(H$12=0,0,H43/H$12)</f>
        <v>0</v>
      </c>
      <c r="K43" s="1"/>
      <c r="L43" s="1">
        <f t="shared" ref="L43:L55" si="32">+D43-H43</f>
        <v>0</v>
      </c>
      <c r="M43" s="1"/>
      <c r="N43" s="5">
        <f t="shared" ref="N43:N55" si="33">IF(H43=0,0,L43/H43)</f>
        <v>0</v>
      </c>
      <c r="O43" s="14"/>
      <c r="P43" s="1">
        <f>SUM(OSRRefP22_2x_0)</f>
        <v>0</v>
      </c>
      <c r="Q43" s="1"/>
      <c r="R43" s="5">
        <f t="shared" ref="R43:R55" si="34">IF(P$12=0,0,P43/P$12)</f>
        <v>0</v>
      </c>
      <c r="S43" s="1"/>
      <c r="T43" s="1">
        <f>SUM(OSRRefT22_2x_0)</f>
        <v>0</v>
      </c>
      <c r="U43" s="1"/>
      <c r="V43" s="5">
        <f t="shared" ref="V43:V55" si="35">IF(T$12=0,0,T43/T$12)</f>
        <v>0</v>
      </c>
      <c r="W43" s="1"/>
      <c r="X43" s="1">
        <f t="shared" ref="X43:X55" si="36">+P43-T43</f>
        <v>0</v>
      </c>
      <c r="Y43" s="1"/>
      <c r="Z43" s="5">
        <f t="shared" ref="Z43:Z55" si="37">IF(T43=0,0,X43/T43)</f>
        <v>0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9" customFormat="1" outlineLevel="1" collapsed="1" x14ac:dyDescent="0.25">
      <c r="A45" s="28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7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9" customFormat="1" outlineLevel="1" collapsed="1" x14ac:dyDescent="0.25">
      <c r="A47" s="28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0</v>
      </c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0</v>
      </c>
      <c r="U48" s="2"/>
      <c r="V48" s="7">
        <f t="shared" si="35"/>
        <v>0</v>
      </c>
      <c r="W48" s="2"/>
      <c r="X48" s="6">
        <f t="shared" si="36"/>
        <v>0</v>
      </c>
      <c r="Y48" s="2"/>
      <c r="Z48" s="7">
        <f t="shared" si="37"/>
        <v>0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116.06</v>
      </c>
      <c r="Q49" s="1"/>
      <c r="R49" s="5">
        <f t="shared" si="34"/>
        <v>0</v>
      </c>
      <c r="S49" s="1"/>
      <c r="T49" s="1">
        <f>SUM(OSRRefT22_5x_0)</f>
        <v>1260</v>
      </c>
      <c r="U49" s="1"/>
      <c r="V49" s="5">
        <f t="shared" si="35"/>
        <v>0</v>
      </c>
      <c r="W49" s="1"/>
      <c r="X49" s="1">
        <f t="shared" si="36"/>
        <v>-1143.94</v>
      </c>
      <c r="Y49" s="1"/>
      <c r="Z49" s="5">
        <f t="shared" si="37"/>
        <v>-0.90788888888888897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58.03</v>
      </c>
      <c r="E50" s="2"/>
      <c r="F50" s="7">
        <f t="shared" si="30"/>
        <v>0</v>
      </c>
      <c r="G50" s="2"/>
      <c r="H50" s="6">
        <v>630</v>
      </c>
      <c r="I50" s="2"/>
      <c r="J50" s="7">
        <f t="shared" si="31"/>
        <v>0</v>
      </c>
      <c r="K50" s="2"/>
      <c r="L50" s="6">
        <f t="shared" si="32"/>
        <v>-571.97</v>
      </c>
      <c r="M50" s="2"/>
      <c r="N50" s="7">
        <f t="shared" si="33"/>
        <v>-0.90788888888888897</v>
      </c>
      <c r="O50" s="11"/>
      <c r="P50" s="6">
        <v>116.06</v>
      </c>
      <c r="Q50" s="2"/>
      <c r="R50" s="7">
        <f t="shared" si="34"/>
        <v>0</v>
      </c>
      <c r="S50" s="2"/>
      <c r="T50" s="6">
        <v>1260</v>
      </c>
      <c r="U50" s="2"/>
      <c r="V50" s="7">
        <f t="shared" si="35"/>
        <v>0</v>
      </c>
      <c r="W50" s="2"/>
      <c r="X50" s="6">
        <f t="shared" si="36"/>
        <v>-1143.94</v>
      </c>
      <c r="Y50" s="2"/>
      <c r="Z50" s="7">
        <f t="shared" si="37"/>
        <v>-0.90788888888888897</v>
      </c>
    </row>
    <row r="51" spans="1:26" s="29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0</v>
      </c>
      <c r="U52" s="2"/>
      <c r="V52" s="7">
        <f t="shared" si="35"/>
        <v>0</v>
      </c>
      <c r="W52" s="2"/>
      <c r="X52" s="6">
        <f t="shared" si="36"/>
        <v>0</v>
      </c>
      <c r="Y52" s="2"/>
      <c r="Z52" s="7">
        <f t="shared" si="37"/>
        <v>0</v>
      </c>
    </row>
    <row r="53" spans="1:26" s="29" customFormat="1" outlineLevel="1" collapsed="1" x14ac:dyDescent="0.25">
      <c r="A53" s="28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SUM(OSRRefD22_7x_0)</f>
        <v>78.599999999999994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78.599999999999994</v>
      </c>
      <c r="M53" s="1"/>
      <c r="N53" s="5">
        <f t="shared" si="33"/>
        <v>0</v>
      </c>
      <c r="O53" s="14"/>
      <c r="P53" s="1">
        <f>SUM(OSRRefP22_7x_0)</f>
        <v>78.599999999999994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78.599999999999994</v>
      </c>
      <c r="Y53" s="1"/>
      <c r="Z53" s="5">
        <f t="shared" si="37"/>
        <v>0</v>
      </c>
    </row>
    <row r="54" spans="1:26" s="24" customFormat="1" hidden="1" outlineLevel="2" x14ac:dyDescent="0.25">
      <c r="A54" s="27"/>
      <c r="B54" s="11" t="str">
        <f>CONCATENATE("          ", "6373", " - ", "MAINTENANCE CONTRACTS")</f>
        <v xml:space="preserve">          6373 - MAINTENANCE CONTRACTS</v>
      </c>
      <c r="C54" s="11"/>
      <c r="D54" s="6">
        <v>78.599999999999994</v>
      </c>
      <c r="E54" s="2"/>
      <c r="F54" s="7">
        <f t="shared" si="30"/>
        <v>0</v>
      </c>
      <c r="G54" s="2"/>
      <c r="H54" s="6"/>
      <c r="I54" s="2"/>
      <c r="J54" s="7">
        <f t="shared" si="31"/>
        <v>0</v>
      </c>
      <c r="K54" s="2"/>
      <c r="L54" s="6">
        <f t="shared" si="32"/>
        <v>78.599999999999994</v>
      </c>
      <c r="M54" s="2"/>
      <c r="N54" s="7">
        <f t="shared" si="33"/>
        <v>0</v>
      </c>
      <c r="O54" s="11"/>
      <c r="P54" s="6">
        <v>78.599999999999994</v>
      </c>
      <c r="Q54" s="2"/>
      <c r="R54" s="7">
        <f t="shared" si="34"/>
        <v>0</v>
      </c>
      <c r="S54" s="2"/>
      <c r="T54" s="6">
        <v>0</v>
      </c>
      <c r="U54" s="2"/>
      <c r="V54" s="7">
        <f t="shared" si="35"/>
        <v>0</v>
      </c>
      <c r="W54" s="2"/>
      <c r="X54" s="6">
        <f t="shared" si="36"/>
        <v>78.599999999999994</v>
      </c>
      <c r="Y54" s="2"/>
      <c r="Z54" s="7">
        <f t="shared" si="37"/>
        <v>0</v>
      </c>
    </row>
    <row r="55" spans="1:26" s="24" customFormat="1" hidden="1" outlineLevel="2" x14ac:dyDescent="0.25">
      <c r="A55" s="27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30"/>
        <v>0</v>
      </c>
      <c r="G55" s="2"/>
      <c r="H55" s="6">
        <v>0</v>
      </c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/>
      <c r="Q55" s="2"/>
      <c r="R55" s="7">
        <f t="shared" si="34"/>
        <v>0</v>
      </c>
      <c r="S55" s="2"/>
      <c r="T55" s="6">
        <v>0</v>
      </c>
      <c r="U55" s="2"/>
      <c r="V55" s="7">
        <f t="shared" si="35"/>
        <v>0</v>
      </c>
      <c r="W55" s="2"/>
      <c r="X55" s="6">
        <f t="shared" si="36"/>
        <v>0</v>
      </c>
      <c r="Y55" s="2"/>
      <c r="Z55" s="7">
        <f t="shared" si="37"/>
        <v>0</v>
      </c>
    </row>
    <row r="56" spans="1:26" s="29" customFormat="1" outlineLevel="1" collapsed="1" x14ac:dyDescent="0.25">
      <c r="A56" s="28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SUM(OSRRefD22_8x_0)</f>
        <v>0</v>
      </c>
      <c r="E56" s="1"/>
      <c r="F56" s="5">
        <f t="shared" ref="F56:F58" si="38">IF(D$12=0,0,D56/D$12)</f>
        <v>0</v>
      </c>
      <c r="G56" s="1"/>
      <c r="H56" s="1">
        <f>SUM(OSRRefH22_8x_0)</f>
        <v>0</v>
      </c>
      <c r="I56" s="1"/>
      <c r="J56" s="5">
        <f t="shared" ref="J56:J58" si="39">IF(H$12=0,0,H56/H$12)</f>
        <v>0</v>
      </c>
      <c r="K56" s="1"/>
      <c r="L56" s="1">
        <f t="shared" ref="L56:L58" si="40">+D56-H56</f>
        <v>0</v>
      </c>
      <c r="M56" s="1"/>
      <c r="N56" s="5">
        <f t="shared" ref="N56:N58" si="41">IF(H56=0,0,L56/H56)</f>
        <v>0</v>
      </c>
      <c r="O56" s="14"/>
      <c r="P56" s="1">
        <f>SUM(OSRRefP22_8x_0)</f>
        <v>286.62</v>
      </c>
      <c r="Q56" s="1"/>
      <c r="R56" s="5">
        <f t="shared" ref="R56:R58" si="42">IF(P$12=0,0,P56/P$12)</f>
        <v>0</v>
      </c>
      <c r="S56" s="1"/>
      <c r="T56" s="1">
        <f>SUM(OSRRefT22_8x_0)</f>
        <v>0</v>
      </c>
      <c r="U56" s="1"/>
      <c r="V56" s="5">
        <f t="shared" ref="V56:V58" si="43">IF(T$12=0,0,T56/T$12)</f>
        <v>0</v>
      </c>
      <c r="W56" s="1"/>
      <c r="X56" s="1">
        <f t="shared" ref="X56:X58" si="44">+P56-T56</f>
        <v>286.62</v>
      </c>
      <c r="Y56" s="1"/>
      <c r="Z56" s="5">
        <f t="shared" ref="Z56:Z58" si="45">IF(T56=0,0,X56/T56)</f>
        <v>0</v>
      </c>
    </row>
    <row r="57" spans="1:26" s="24" customFormat="1" hidden="1" outlineLevel="2" x14ac:dyDescent="0.25">
      <c r="A57" s="27"/>
      <c r="B57" s="11" t="str">
        <f>CONCATENATE("          ", "6282", " - ", "JANITORIAL/EXTERMINATOR EXPENS")</f>
        <v xml:space="preserve">          6282 - JANITORIAL/EXTERMINATOR EXPENS</v>
      </c>
      <c r="C57" s="11"/>
      <c r="D57" s="6"/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286.62</v>
      </c>
      <c r="Q57" s="2"/>
      <c r="R57" s="7">
        <f t="shared" si="42"/>
        <v>0</v>
      </c>
      <c r="S57" s="2"/>
      <c r="T57" s="6"/>
      <c r="U57" s="2"/>
      <c r="V57" s="7">
        <f t="shared" si="43"/>
        <v>0</v>
      </c>
      <c r="W57" s="2"/>
      <c r="X57" s="6">
        <f t="shared" si="44"/>
        <v>286.62</v>
      </c>
      <c r="Y57" s="2"/>
      <c r="Z57" s="7">
        <f t="shared" si="45"/>
        <v>0</v>
      </c>
    </row>
    <row r="58" spans="1:26" s="24" customFormat="1" hidden="1" outlineLevel="2" x14ac:dyDescent="0.25">
      <c r="A58" s="27"/>
      <c r="B58" s="11" t="str">
        <f>CONCATENATE("          ", "6286", " - ", "LAUNDRY EXPENSE")</f>
        <v xml:space="preserve">          6286 - LAUNDRY EXPENSE</v>
      </c>
      <c r="C58" s="11"/>
      <c r="D58" s="6"/>
      <c r="E58" s="2"/>
      <c r="F58" s="7">
        <f t="shared" si="38"/>
        <v>0</v>
      </c>
      <c r="G58" s="2"/>
      <c r="H58" s="6">
        <v>0</v>
      </c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0</v>
      </c>
      <c r="U58" s="2"/>
      <c r="V58" s="7">
        <f t="shared" si="43"/>
        <v>0</v>
      </c>
      <c r="W58" s="2"/>
      <c r="X58" s="6">
        <f t="shared" si="44"/>
        <v>0</v>
      </c>
      <c r="Y58" s="2"/>
      <c r="Z58" s="7">
        <f t="shared" si="45"/>
        <v>0</v>
      </c>
    </row>
    <row r="59" spans="1:26" s="29" customFormat="1" outlineLevel="1" collapsed="1" x14ac:dyDescent="0.25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SUM(OSRRefD22_9x_0)</f>
        <v>0</v>
      </c>
      <c r="E59" s="1"/>
      <c r="F59" s="5">
        <f t="shared" ref="F59:F67" si="46">IF(D$12=0,0,D59/D$12)</f>
        <v>0</v>
      </c>
      <c r="G59" s="1"/>
      <c r="H59" s="1">
        <f>SUM(OSRRefH22_9x_0)</f>
        <v>0</v>
      </c>
      <c r="I59" s="1"/>
      <c r="J59" s="5">
        <f t="shared" ref="J59:J67" si="47">IF(H$12=0,0,H59/H$12)</f>
        <v>0</v>
      </c>
      <c r="K59" s="1"/>
      <c r="L59" s="1">
        <f t="shared" ref="L59:L67" si="48">+D59-H59</f>
        <v>0</v>
      </c>
      <c r="M59" s="1"/>
      <c r="N59" s="5">
        <f t="shared" ref="N59:N67" si="49">IF(H59=0,0,L59/H59)</f>
        <v>0</v>
      </c>
      <c r="O59" s="14"/>
      <c r="P59" s="1">
        <f>SUM(OSRRefP22_9x_0)</f>
        <v>0</v>
      </c>
      <c r="Q59" s="1"/>
      <c r="R59" s="5">
        <f t="shared" ref="R59:R67" si="50">IF(P$12=0,0,P59/P$12)</f>
        <v>0</v>
      </c>
      <c r="S59" s="1"/>
      <c r="T59" s="1">
        <f>SUM(OSRRefT22_9x_0)</f>
        <v>0</v>
      </c>
      <c r="U59" s="1"/>
      <c r="V59" s="5">
        <f t="shared" ref="V59:V67" si="51">IF(T$12=0,0,T59/T$12)</f>
        <v>0</v>
      </c>
      <c r="W59" s="1"/>
      <c r="X59" s="1">
        <f t="shared" ref="X59:X67" si="52">+P59-T59</f>
        <v>0</v>
      </c>
      <c r="Y59" s="1"/>
      <c r="Z59" s="5">
        <f t="shared" ref="Z59:Z67" si="53">IF(T59=0,0,X59/T59)</f>
        <v>0</v>
      </c>
    </row>
    <row r="60" spans="1:26" s="24" customFormat="1" hidden="1" outlineLevel="2" x14ac:dyDescent="0.25">
      <c r="A60" s="27"/>
      <c r="B60" s="11" t="str">
        <f>CONCATENATE("          ", "6235", " - ", "COVID-19 EXPENSES")</f>
        <v xml:space="preserve">          6235 - COVID-19 EXPENSES</v>
      </c>
      <c r="C60" s="11"/>
      <c r="D60" s="6"/>
      <c r="E60" s="2"/>
      <c r="F60" s="7">
        <f t="shared" si="46"/>
        <v>0</v>
      </c>
      <c r="G60" s="2"/>
      <c r="H60" s="6">
        <v>0</v>
      </c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0</v>
      </c>
      <c r="U60" s="2"/>
      <c r="V60" s="7">
        <f t="shared" si="51"/>
        <v>0</v>
      </c>
      <c r="W60" s="2"/>
      <c r="X60" s="6">
        <f t="shared" si="52"/>
        <v>0</v>
      </c>
      <c r="Y60" s="2"/>
      <c r="Z60" s="7">
        <f t="shared" si="53"/>
        <v>0</v>
      </c>
    </row>
    <row r="61" spans="1:26" s="24" customFormat="1" hidden="1" outlineLevel="2" x14ac:dyDescent="0.25">
      <c r="A61" s="27"/>
      <c r="B61" s="11" t="str">
        <f>CONCATENATE("          ", "6239", " - ", "KITCHEN SUPPLIES")</f>
        <v xml:space="preserve">          6239 - KITCHEN SUPPLIES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25">
      <c r="A63" s="27"/>
      <c r="B63" s="11" t="str">
        <f>CONCATENATE("          ", "6243", " - ", "PAPER SUPPLIES")</f>
        <v xml:space="preserve">          6243 - PAPER SUPPLIES</v>
      </c>
      <c r="C63" s="11"/>
      <c r="D63" s="6"/>
      <c r="E63" s="2"/>
      <c r="F63" s="7">
        <f t="shared" si="46"/>
        <v>0</v>
      </c>
      <c r="G63" s="2"/>
      <c r="H63" s="6">
        <v>0</v>
      </c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0</v>
      </c>
      <c r="U63" s="2"/>
      <c r="V63" s="7">
        <f t="shared" si="51"/>
        <v>0</v>
      </c>
      <c r="W63" s="2"/>
      <c r="X63" s="6">
        <f t="shared" si="52"/>
        <v>0</v>
      </c>
      <c r="Y63" s="2"/>
      <c r="Z63" s="7">
        <f t="shared" si="53"/>
        <v>0</v>
      </c>
    </row>
    <row r="64" spans="1:26" s="24" customFormat="1" hidden="1" outlineLevel="2" x14ac:dyDescent="0.25">
      <c r="A64" s="27"/>
      <c r="B64" s="11" t="str">
        <f>CONCATENATE("          ", "6244", " - ", "SAFETY SUPPLY EXPENSE")</f>
        <v xml:space="preserve">          6244 - SAFETY SUPPLY EXPENSE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4" customFormat="1" hidden="1" outlineLevel="2" x14ac:dyDescent="0.25">
      <c r="A65" s="27"/>
      <c r="B65" s="11" t="str">
        <f>CONCATENATE("          ", "6245", " - ", "PRINTING")</f>
        <v xml:space="preserve">          6245 - PRINTING</v>
      </c>
      <c r="C65" s="11"/>
      <c r="D65" s="6"/>
      <c r="E65" s="2"/>
      <c r="F65" s="7">
        <f t="shared" si="46"/>
        <v>0</v>
      </c>
      <c r="G65" s="2"/>
      <c r="H65" s="6">
        <v>0</v>
      </c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0</v>
      </c>
      <c r="U65" s="2"/>
      <c r="V65" s="7">
        <f t="shared" si="51"/>
        <v>0</v>
      </c>
      <c r="W65" s="2"/>
      <c r="X65" s="6">
        <f t="shared" si="52"/>
        <v>0</v>
      </c>
      <c r="Y65" s="2"/>
      <c r="Z65" s="7">
        <f t="shared" si="53"/>
        <v>0</v>
      </c>
    </row>
    <row r="66" spans="1:26" s="24" customFormat="1" hidden="1" outlineLevel="2" x14ac:dyDescent="0.25">
      <c r="A66" s="27"/>
      <c r="B66" s="11" t="str">
        <f>CONCATENATE("          ", "6247", " - ", "STORE SUPPLIES")</f>
        <v xml:space="preserve">          6247 - STORE SUPPLIES</v>
      </c>
      <c r="C66" s="11"/>
      <c r="D66" s="6"/>
      <c r="E66" s="2"/>
      <c r="F66" s="7">
        <f t="shared" si="46"/>
        <v>0</v>
      </c>
      <c r="G66" s="2"/>
      <c r="H66" s="6">
        <v>0</v>
      </c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0</v>
      </c>
      <c r="U66" s="2"/>
      <c r="V66" s="7">
        <f t="shared" si="51"/>
        <v>0</v>
      </c>
      <c r="W66" s="2"/>
      <c r="X66" s="6">
        <f t="shared" si="52"/>
        <v>0</v>
      </c>
      <c r="Y66" s="2"/>
      <c r="Z66" s="7">
        <f t="shared" si="53"/>
        <v>0</v>
      </c>
    </row>
    <row r="67" spans="1:26" s="24" customFormat="1" hidden="1" outlineLevel="2" x14ac:dyDescent="0.25">
      <c r="A67" s="27"/>
      <c r="B67" s="11" t="str">
        <f>CONCATENATE("          ", "6248", " - ", "UNIFORMS")</f>
        <v xml:space="preserve">          6248 - UNIFORMS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0</v>
      </c>
      <c r="U67" s="2"/>
      <c r="V67" s="7">
        <f t="shared" si="51"/>
        <v>0</v>
      </c>
      <c r="W67" s="2"/>
      <c r="X67" s="6">
        <f t="shared" si="52"/>
        <v>0</v>
      </c>
      <c r="Y67" s="2"/>
      <c r="Z67" s="7">
        <f t="shared" si="53"/>
        <v>0</v>
      </c>
    </row>
    <row r="68" spans="1:26" s="29" customFormat="1" outlineLevel="1" collapsed="1" x14ac:dyDescent="0.25">
      <c r="A68" s="28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SUM(OSRRefD22_10x_0)</f>
        <v>21</v>
      </c>
      <c r="E68" s="1"/>
      <c r="F68" s="5">
        <f t="shared" ref="F68:F70" si="54">IF(D$12=0,0,D68/D$12)</f>
        <v>0</v>
      </c>
      <c r="G68" s="1"/>
      <c r="H68" s="1">
        <f>SUM(OSRRefH22_10x_0)</f>
        <v>0</v>
      </c>
      <c r="I68" s="1"/>
      <c r="J68" s="5">
        <f t="shared" ref="J68:J70" si="55">IF(H$12=0,0,H68/H$12)</f>
        <v>0</v>
      </c>
      <c r="K68" s="1"/>
      <c r="L68" s="1">
        <f t="shared" ref="L68:L70" si="56">+D68-H68</f>
        <v>21</v>
      </c>
      <c r="M68" s="1"/>
      <c r="N68" s="5">
        <f t="shared" ref="N68:N70" si="57">IF(H68=0,0,L68/H68)</f>
        <v>0</v>
      </c>
      <c r="O68" s="14"/>
      <c r="P68" s="1">
        <f>SUM(OSRRefP22_10x_0)</f>
        <v>42</v>
      </c>
      <c r="Q68" s="1"/>
      <c r="R68" s="5">
        <f t="shared" ref="R68:R70" si="58">IF(P$12=0,0,P68/P$12)</f>
        <v>0</v>
      </c>
      <c r="S68" s="1"/>
      <c r="T68" s="1">
        <f>SUM(OSRRefT22_10x_0)</f>
        <v>0</v>
      </c>
      <c r="U68" s="1"/>
      <c r="V68" s="5">
        <f t="shared" ref="V68:V70" si="59">IF(T$12=0,0,T68/T$12)</f>
        <v>0</v>
      </c>
      <c r="W68" s="1"/>
      <c r="X68" s="1">
        <f t="shared" ref="X68:X70" si="60">+P68-T68</f>
        <v>42</v>
      </c>
      <c r="Y68" s="1"/>
      <c r="Z68" s="5">
        <f t="shared" ref="Z68:Z70" si="61">IF(T68=0,0,X68/T68)</f>
        <v>0</v>
      </c>
    </row>
    <row r="69" spans="1:26" s="24" customFormat="1" hidden="1" outlineLevel="2" x14ac:dyDescent="0.25">
      <c r="A69" s="27"/>
      <c r="B69" s="11" t="str">
        <f>CONCATENATE("          ", "6303", " - ", "DATA PHONE LINES")</f>
        <v xml:space="preserve">          6303 - DATA PHONE LINES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7"/>
      <c r="B70" s="11" t="str">
        <f>CONCATENATE("          ", "6309", " - ", "TELEPHONE")</f>
        <v xml:space="preserve">          6309 - TELEPHONE</v>
      </c>
      <c r="C70" s="11"/>
      <c r="D70" s="6">
        <v>21</v>
      </c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21</v>
      </c>
      <c r="M70" s="2"/>
      <c r="N70" s="7">
        <f t="shared" si="57"/>
        <v>0</v>
      </c>
      <c r="O70" s="11"/>
      <c r="P70" s="6">
        <v>42</v>
      </c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42</v>
      </c>
      <c r="Y70" s="2"/>
      <c r="Z70" s="7">
        <f t="shared" si="61"/>
        <v>0</v>
      </c>
    </row>
    <row r="71" spans="1:26" s="61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2" customFormat="1" x14ac:dyDescent="0.25">
      <c r="A72" s="10"/>
      <c r="B72" s="25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2" customFormat="1" x14ac:dyDescent="0.25">
      <c r="A74" s="10"/>
      <c r="B74" s="26" t="s">
        <v>3</v>
      </c>
      <c r="C74" s="26"/>
      <c r="D74" s="21">
        <f>+D19-D21+D72</f>
        <v>-157.63</v>
      </c>
      <c r="E74" s="13"/>
      <c r="F74" s="20">
        <f>IF(D$12=0,0,D74/D$12)</f>
        <v>0</v>
      </c>
      <c r="G74" s="13"/>
      <c r="H74" s="21">
        <f>+H19-H21+H72</f>
        <v>-630</v>
      </c>
      <c r="I74" s="13"/>
      <c r="J74" s="20">
        <f>IF(H$12=0,0,H74/H$12)</f>
        <v>0</v>
      </c>
      <c r="K74" s="16"/>
      <c r="L74" s="21">
        <f>+D74-H74</f>
        <v>472.37</v>
      </c>
      <c r="M74" s="16"/>
      <c r="N74" s="20">
        <f>IF(H74=0,0,L74/H74)</f>
        <v>-0.74979365079365079</v>
      </c>
      <c r="O74" s="25"/>
      <c r="P74" s="21">
        <f>+P19-P21+P72</f>
        <v>-4276.1899999999996</v>
      </c>
      <c r="Q74" s="13"/>
      <c r="R74" s="20">
        <f>IF(P$12=0,0,P74/P$12)</f>
        <v>0</v>
      </c>
      <c r="S74" s="13"/>
      <c r="T74" s="21">
        <f>+T19-T21+T72</f>
        <v>-1260</v>
      </c>
      <c r="U74" s="13"/>
      <c r="V74" s="20">
        <f>IF(T$12=0,0,T74/T$12)</f>
        <v>0</v>
      </c>
      <c r="W74" s="16"/>
      <c r="X74" s="21">
        <f>+P74-T74</f>
        <v>-3016.1899999999996</v>
      </c>
      <c r="Y74" s="16"/>
      <c r="Z74" s="20">
        <f>IF(T74=0,0,X74/T74)</f>
        <v>2.3938015873015868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2" customFormat="1" x14ac:dyDescent="0.25">
      <c r="A76" s="52"/>
      <c r="B76" s="10" t="s">
        <v>14</v>
      </c>
      <c r="C76" s="10"/>
      <c r="D76" s="4"/>
      <c r="E76" s="4"/>
      <c r="F76" s="12">
        <f>IF(D$12=0,0,D76/D$12)</f>
        <v>0</v>
      </c>
      <c r="G76" s="4"/>
      <c r="H76" s="4"/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/>
      <c r="Q76" s="4"/>
      <c r="R76" s="12">
        <f>IF(P$12=0,0,P76/P$12)</f>
        <v>0</v>
      </c>
      <c r="S76" s="4"/>
      <c r="T76" s="4"/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2" customFormat="1" ht="15.75" thickBot="1" x14ac:dyDescent="0.3">
      <c r="A78" s="10"/>
      <c r="B78" s="26" t="s">
        <v>4</v>
      </c>
      <c r="C78" s="26"/>
      <c r="D78" s="33">
        <f>+D74-D76</f>
        <v>-157.63</v>
      </c>
      <c r="E78" s="13"/>
      <c r="F78" s="31">
        <f>IF(D$12=0,0,D78/D$12)</f>
        <v>0</v>
      </c>
      <c r="G78" s="13"/>
      <c r="H78" s="33">
        <f>+H74-H76</f>
        <v>-630</v>
      </c>
      <c r="I78" s="13"/>
      <c r="J78" s="31">
        <f>IF(H$12=0,0,H78/H$12)</f>
        <v>0</v>
      </c>
      <c r="K78" s="16"/>
      <c r="L78" s="33">
        <f>D78-H78</f>
        <v>472.37</v>
      </c>
      <c r="M78" s="16"/>
      <c r="N78" s="31">
        <f>IF(H78=0,0,L78/H78)</f>
        <v>-0.74979365079365079</v>
      </c>
      <c r="O78" s="25"/>
      <c r="P78" s="33">
        <f>+P74-P76</f>
        <v>-4276.1899999999996</v>
      </c>
      <c r="Q78" s="13"/>
      <c r="R78" s="31">
        <f>IF(P$12=0,0,P78/P$12)</f>
        <v>0</v>
      </c>
      <c r="S78" s="13"/>
      <c r="T78" s="33">
        <f>+T74-T76</f>
        <v>-1260</v>
      </c>
      <c r="U78" s="13"/>
      <c r="V78" s="31">
        <f>IF(T$12=0,0,T78/T$12)</f>
        <v>0</v>
      </c>
      <c r="W78" s="16"/>
      <c r="X78" s="33">
        <f>P78-T78</f>
        <v>-3016.1899999999996</v>
      </c>
      <c r="Y78" s="16"/>
      <c r="Z78" s="31">
        <f>IF(T78=0,0,X78/T78)</f>
        <v>2.3938015873015868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2" customFormat="1" ht="15.75" thickBot="1" x14ac:dyDescent="0.3">
      <c r="A81" s="10"/>
      <c r="B81" s="26" t="s">
        <v>5</v>
      </c>
      <c r="C81" s="26"/>
      <c r="D81" s="32">
        <f>SUM(D78:D80)</f>
        <v>-157.63</v>
      </c>
      <c r="E81" s="13"/>
      <c r="F81" s="35">
        <f>IF(D$12=0,0,D81/D$12)</f>
        <v>0</v>
      </c>
      <c r="G81" s="13"/>
      <c r="H81" s="32">
        <f>SUM(H78:H80)</f>
        <v>-630</v>
      </c>
      <c r="I81" s="13"/>
      <c r="J81" s="35">
        <f>IF(H$12=0,0,H81/H$12)</f>
        <v>0</v>
      </c>
      <c r="K81" s="16"/>
      <c r="L81" s="32">
        <f>+D81-H81</f>
        <v>472.37</v>
      </c>
      <c r="M81" s="16"/>
      <c r="N81" s="35">
        <f>IF(H81=0,0,L81/H81)</f>
        <v>-0.74979365079365079</v>
      </c>
      <c r="O81" s="25"/>
      <c r="P81" s="32">
        <f>SUM(P78:P80)</f>
        <v>-4276.1899999999996</v>
      </c>
      <c r="Q81" s="13"/>
      <c r="R81" s="35">
        <f>IF(P$12=0,0,P81/P$12)</f>
        <v>0</v>
      </c>
      <c r="S81" s="13"/>
      <c r="T81" s="32">
        <f>SUM(T78:T80)</f>
        <v>-1260</v>
      </c>
      <c r="U81" s="13"/>
      <c r="V81" s="35">
        <f>IF(T$12=0,0,T81/T$12)</f>
        <v>0</v>
      </c>
      <c r="W81" s="16"/>
      <c r="X81" s="32">
        <f>+P81-T81</f>
        <v>-3016.1899999999996</v>
      </c>
      <c r="Y81" s="16"/>
      <c r="Z81" s="35">
        <f>IF(T81=0,0,X81/T81)</f>
        <v>2.3938015873015868</v>
      </c>
    </row>
    <row r="82" spans="1:26" ht="15.75" thickTop="1" x14ac:dyDescent="0.25">
      <c r="A82" s="9"/>
      <c r="C82" s="9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6" x14ac:dyDescent="0.25">
      <c r="A83" s="9"/>
      <c r="B83" s="59">
        <v>44113.689852280091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62" t="s">
        <v>314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3"/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299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","414", " - ", "Starbucks UDP")</f>
        <v>Department 414 - Starbucks UDP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3"/>
      <c r="G14" s="2"/>
      <c r="H14" s="2"/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>--974.91</f>
        <v>974.91</v>
      </c>
      <c r="Q14" s="2"/>
      <c r="R14" s="23"/>
      <c r="S14" s="2"/>
      <c r="T14" s="2"/>
      <c r="U14" s="2"/>
      <c r="V14" s="23"/>
      <c r="W14" s="2"/>
      <c r="X14" s="2">
        <f t="shared" si="2"/>
        <v>974.91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3"/>
      <c r="G15" s="2"/>
      <c r="H15" s="2">
        <v>0</v>
      </c>
      <c r="I15" s="2"/>
      <c r="J15" s="23"/>
      <c r="K15" s="2"/>
      <c r="L15" s="2">
        <f t="shared" si="0"/>
        <v>0</v>
      </c>
      <c r="M15" s="2"/>
      <c r="N15" s="23">
        <f t="shared" si="1"/>
        <v>0</v>
      </c>
      <c r="O15" s="11"/>
      <c r="P15" s="2">
        <f>0</f>
        <v>0</v>
      </c>
      <c r="Q15" s="2"/>
      <c r="R15" s="23"/>
      <c r="S15" s="2"/>
      <c r="T15" s="2">
        <v>0</v>
      </c>
      <c r="U15" s="2"/>
      <c r="V15" s="23"/>
      <c r="W15" s="2"/>
      <c r="X15" s="2">
        <f t="shared" si="2"/>
        <v>0</v>
      </c>
      <c r="Y15" s="2"/>
      <c r="Z15" s="23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3">
        <f t="shared" si="5"/>
        <v>0</v>
      </c>
      <c r="G18" s="2"/>
      <c r="H18" s="2">
        <v>0</v>
      </c>
      <c r="I18" s="2"/>
      <c r="J18" s="23">
        <f t="shared" si="6"/>
        <v>0</v>
      </c>
      <c r="K18" s="2"/>
      <c r="L18" s="2">
        <f t="shared" si="7"/>
        <v>0</v>
      </c>
      <c r="M18" s="2"/>
      <c r="N18" s="23">
        <f t="shared" si="8"/>
        <v>0</v>
      </c>
      <c r="O18" s="11"/>
      <c r="P18" s="2"/>
      <c r="Q18" s="2"/>
      <c r="R18" s="23">
        <f t="shared" si="9"/>
        <v>0</v>
      </c>
      <c r="S18" s="2"/>
      <c r="T18" s="2">
        <v>0</v>
      </c>
      <c r="U18" s="2"/>
      <c r="V18" s="23">
        <f t="shared" si="10"/>
        <v>0</v>
      </c>
      <c r="W18" s="2"/>
      <c r="X18" s="2">
        <f t="shared" si="11"/>
        <v>0</v>
      </c>
      <c r="Y18" s="2"/>
      <c r="Z18" s="23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2" customFormat="1" x14ac:dyDescent="0.25">
      <c r="A20" s="10"/>
      <c r="B20" s="26" t="s">
        <v>6</v>
      </c>
      <c r="C20" s="26"/>
      <c r="D20" s="21">
        <f>D12-D17</f>
        <v>0</v>
      </c>
      <c r="E20" s="13"/>
      <c r="F20" s="20">
        <f>IF(D$12=0,0,D20/D$12)</f>
        <v>0</v>
      </c>
      <c r="G20" s="13"/>
      <c r="H20" s="21">
        <f>H12-H17</f>
        <v>0</v>
      </c>
      <c r="I20" s="13"/>
      <c r="J20" s="20">
        <f>IF(H$12=0,0,H20/H$12)</f>
        <v>0</v>
      </c>
      <c r="K20" s="16"/>
      <c r="L20" s="21">
        <f>+D20-H20</f>
        <v>0</v>
      </c>
      <c r="M20" s="16"/>
      <c r="N20" s="20">
        <f>IF(H20=0,0,L20/H20)</f>
        <v>0</v>
      </c>
      <c r="O20" s="25"/>
      <c r="P20" s="21">
        <f>P12-P17</f>
        <v>974.91</v>
      </c>
      <c r="Q20" s="13"/>
      <c r="R20" s="20">
        <f>IF(P$12=0,0,P20/P$12)</f>
        <v>1</v>
      </c>
      <c r="S20" s="13"/>
      <c r="T20" s="21">
        <f>T12-T17</f>
        <v>0</v>
      </c>
      <c r="U20" s="13"/>
      <c r="V20" s="20">
        <f>IF(T$12=0,0,T20/T$12)</f>
        <v>0</v>
      </c>
      <c r="W20" s="16"/>
      <c r="X20" s="21">
        <f>+P20-T20</f>
        <v>974.91</v>
      </c>
      <c r="Y20" s="16"/>
      <c r="Z20" s="20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5" t="s">
        <v>9</v>
      </c>
      <c r="C22" s="10"/>
      <c r="D22" s="19">
        <f>SUM(OSRRefD22x_0)</f>
        <v>1871.84</v>
      </c>
      <c r="E22" s="19"/>
      <c r="F22" s="30">
        <f t="shared" ref="F22:F32" si="13">IF(D$12=0,0,D22/D$12)</f>
        <v>0</v>
      </c>
      <c r="G22" s="19"/>
      <c r="H22" s="19">
        <f>SUM(OSRRefH22x_0)</f>
        <v>1972</v>
      </c>
      <c r="I22" s="19"/>
      <c r="J22" s="30">
        <f t="shared" ref="J22:J32" si="14">IF(H$12=0,0,H22/H$12)</f>
        <v>0</v>
      </c>
      <c r="K22" s="4"/>
      <c r="L22" s="19">
        <f t="shared" ref="L22:L32" si="15">+D22-H22</f>
        <v>-100.16000000000008</v>
      </c>
      <c r="M22" s="4"/>
      <c r="N22" s="30">
        <f t="shared" ref="N22:N32" si="16">IF(H22=0,0,L22/H22)</f>
        <v>-5.0791075050709983E-2</v>
      </c>
      <c r="O22" s="10"/>
      <c r="P22" s="19">
        <f>SUM(OSRRefP22x_0)</f>
        <v>4546.3999999999996</v>
      </c>
      <c r="Q22" s="19"/>
      <c r="R22" s="30">
        <f t="shared" ref="R22:R32" si="17">IF(P$12=0,0,P22/P$12)</f>
        <v>4.6634048271122461</v>
      </c>
      <c r="S22" s="19"/>
      <c r="T22" s="19">
        <f>SUM(OSRRefT22x_0)</f>
        <v>3944</v>
      </c>
      <c r="U22" s="19"/>
      <c r="V22" s="30">
        <f t="shared" ref="V22:V32" si="18">IF(T$12=0,0,T22/T$12)</f>
        <v>0</v>
      </c>
      <c r="W22" s="4"/>
      <c r="X22" s="19">
        <f t="shared" ref="X22:X32" si="19">+P22-T22</f>
        <v>602.39999999999964</v>
      </c>
      <c r="Y22" s="4"/>
      <c r="Z22" s="30">
        <f t="shared" ref="Z22:Z32" si="20">IF(T22=0,0,X22/T22)</f>
        <v>0.15273833671399586</v>
      </c>
    </row>
    <row r="23" spans="1:26" s="29" customFormat="1" outlineLevel="1" collapsed="1" x14ac:dyDescent="0.25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25">
      <c r="A24" s="27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0</v>
      </c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/>
      <c r="Q24" s="2"/>
      <c r="R24" s="7">
        <f t="shared" si="17"/>
        <v>0</v>
      </c>
      <c r="S24" s="2"/>
      <c r="T24" s="6">
        <v>0</v>
      </c>
      <c r="U24" s="2"/>
      <c r="V24" s="7">
        <f t="shared" si="18"/>
        <v>0</v>
      </c>
      <c r="W24" s="2"/>
      <c r="X24" s="6">
        <f t="shared" si="19"/>
        <v>0</v>
      </c>
      <c r="Y24" s="2"/>
      <c r="Z24" s="7">
        <f t="shared" si="20"/>
        <v>0</v>
      </c>
    </row>
    <row r="25" spans="1:26" s="24" customFormat="1" hidden="1" outlineLevel="2" x14ac:dyDescent="0.25">
      <c r="A25" s="27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0</v>
      </c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/>
      <c r="Q25" s="2"/>
      <c r="R25" s="7">
        <f t="shared" si="17"/>
        <v>0</v>
      </c>
      <c r="S25" s="2"/>
      <c r="T25" s="6">
        <v>0</v>
      </c>
      <c r="U25" s="2"/>
      <c r="V25" s="7">
        <f t="shared" si="18"/>
        <v>0</v>
      </c>
      <c r="W25" s="2"/>
      <c r="X25" s="6">
        <f t="shared" si="19"/>
        <v>0</v>
      </c>
      <c r="Y25" s="2"/>
      <c r="Z25" s="7">
        <f t="shared" si="20"/>
        <v>0</v>
      </c>
    </row>
    <row r="26" spans="1:26" s="24" customFormat="1" hidden="1" outlineLevel="2" x14ac:dyDescent="0.25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702.51</v>
      </c>
      <c r="Y26" s="2"/>
      <c r="Z26" s="7">
        <f t="shared" si="20"/>
        <v>0</v>
      </c>
    </row>
    <row r="27" spans="1:26" s="24" customFormat="1" hidden="1" outlineLevel="2" x14ac:dyDescent="0.25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/>
      <c r="Q27" s="2"/>
      <c r="R27" s="7">
        <f t="shared" si="17"/>
        <v>0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0</v>
      </c>
      <c r="Y27" s="2"/>
      <c r="Z27" s="7">
        <f t="shared" si="20"/>
        <v>0</v>
      </c>
    </row>
    <row r="28" spans="1:26" s="24" customFormat="1" hidden="1" outlineLevel="2" x14ac:dyDescent="0.25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7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7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7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7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9" customFormat="1" outlineLevel="1" collapsed="1" x14ac:dyDescent="0.25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25">
      <c r="A34" s="27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1"/>
        <v>0</v>
      </c>
      <c r="G34" s="2"/>
      <c r="H34" s="6">
        <v>0</v>
      </c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/>
      <c r="Q34" s="2"/>
      <c r="R34" s="7">
        <f t="shared" si="25"/>
        <v>0</v>
      </c>
      <c r="S34" s="2"/>
      <c r="T34" s="6">
        <v>0</v>
      </c>
      <c r="U34" s="2"/>
      <c r="V34" s="7">
        <f t="shared" si="26"/>
        <v>0</v>
      </c>
      <c r="W34" s="2"/>
      <c r="X34" s="6">
        <f t="shared" si="27"/>
        <v>0</v>
      </c>
      <c r="Y34" s="2"/>
      <c r="Z34" s="7">
        <f t="shared" si="28"/>
        <v>0</v>
      </c>
    </row>
    <row r="35" spans="1:26" s="24" customFormat="1" hidden="1" outlineLevel="2" x14ac:dyDescent="0.25">
      <c r="A35" s="27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7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7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7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7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7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7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7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7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9" customFormat="1" outlineLevel="1" collapsed="1" x14ac:dyDescent="0.25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5" si="29">IF(D$12=0,0,D44/D$12)</f>
        <v>0</v>
      </c>
      <c r="G44" s="1"/>
      <c r="H44" s="1">
        <f>SUM(OSRRefH22_2x_0)</f>
        <v>0</v>
      </c>
      <c r="I44" s="1"/>
      <c r="J44" s="5">
        <f t="shared" ref="J44:J65" si="30">IF(H$12=0,0,H44/H$12)</f>
        <v>0</v>
      </c>
      <c r="K44" s="1"/>
      <c r="L44" s="1">
        <f t="shared" ref="L44:L65" si="31">+D44-H44</f>
        <v>0</v>
      </c>
      <c r="M44" s="1"/>
      <c r="N44" s="5">
        <f t="shared" ref="N44:N65" si="32">IF(H44=0,0,L44/H44)</f>
        <v>0</v>
      </c>
      <c r="O44" s="14"/>
      <c r="P44" s="1">
        <f>SUM(OSRRefP22_2x_0)</f>
        <v>0</v>
      </c>
      <c r="Q44" s="1"/>
      <c r="R44" s="5">
        <f t="shared" ref="R44:R65" si="33">IF(P$12=0,0,P44/P$12)</f>
        <v>0</v>
      </c>
      <c r="S44" s="1"/>
      <c r="T44" s="1">
        <f>SUM(OSRRefT22_2x_0)</f>
        <v>0</v>
      </c>
      <c r="U44" s="1"/>
      <c r="V44" s="5">
        <f t="shared" ref="V44:V65" si="34">IF(T$12=0,0,T44/T$12)</f>
        <v>0</v>
      </c>
      <c r="W44" s="1"/>
      <c r="X44" s="1">
        <f t="shared" ref="X44:X65" si="35">+P44-T44</f>
        <v>0</v>
      </c>
      <c r="Y44" s="1"/>
      <c r="Z44" s="5">
        <f t="shared" ref="Z44:Z65" si="36">IF(T44=0,0,X44/T44)</f>
        <v>0</v>
      </c>
    </row>
    <row r="45" spans="1:26" s="24" customFormat="1" hidden="1" outlineLevel="2" x14ac:dyDescent="0.25">
      <c r="A45" s="27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9"/>
        <v>0</v>
      </c>
      <c r="G45" s="2"/>
      <c r="H45" s="6">
        <v>0</v>
      </c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/>
      <c r="Q45" s="2"/>
      <c r="R45" s="7">
        <f t="shared" si="33"/>
        <v>0</v>
      </c>
      <c r="S45" s="2"/>
      <c r="T45" s="6">
        <v>0</v>
      </c>
      <c r="U45" s="2"/>
      <c r="V45" s="7">
        <f t="shared" si="34"/>
        <v>0</v>
      </c>
      <c r="W45" s="2"/>
      <c r="X45" s="6">
        <f t="shared" si="35"/>
        <v>0</v>
      </c>
      <c r="Y45" s="2"/>
      <c r="Z45" s="7">
        <f t="shared" si="36"/>
        <v>0</v>
      </c>
    </row>
    <row r="46" spans="1:26" s="29" customFormat="1" outlineLevel="1" collapsed="1" x14ac:dyDescent="0.25">
      <c r="A46" s="28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7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0</v>
      </c>
      <c r="Y47" s="2"/>
      <c r="Z47" s="7">
        <f t="shared" si="36"/>
        <v>0</v>
      </c>
    </row>
    <row r="48" spans="1:26" s="29" customFormat="1" outlineLevel="1" collapsed="1" x14ac:dyDescent="0.25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3797.31</v>
      </c>
      <c r="Q48" s="1"/>
      <c r="R48" s="5">
        <f t="shared" si="33"/>
        <v>3.8950364649044529</v>
      </c>
      <c r="S48" s="1"/>
      <c r="T48" s="1">
        <f>SUM(OSRRefT22_4x_0)</f>
        <v>3944</v>
      </c>
      <c r="U48" s="1"/>
      <c r="V48" s="5">
        <f t="shared" si="34"/>
        <v>0</v>
      </c>
      <c r="W48" s="1"/>
      <c r="X48" s="1">
        <f t="shared" si="35"/>
        <v>-146.69000000000005</v>
      </c>
      <c r="Y48" s="1"/>
      <c r="Z48" s="5">
        <f t="shared" si="36"/>
        <v>-3.7193204868154174E-2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1825.26</v>
      </c>
      <c r="E49" s="2"/>
      <c r="F49" s="7">
        <f t="shared" si="29"/>
        <v>0</v>
      </c>
      <c r="G49" s="2"/>
      <c r="H49" s="6">
        <v>1972</v>
      </c>
      <c r="I49" s="2"/>
      <c r="J49" s="7">
        <f t="shared" si="30"/>
        <v>0</v>
      </c>
      <c r="K49" s="2"/>
      <c r="L49" s="6">
        <f t="shared" si="31"/>
        <v>-146.74</v>
      </c>
      <c r="M49" s="2"/>
      <c r="N49" s="7">
        <f t="shared" si="32"/>
        <v>-7.4411764705882358E-2</v>
      </c>
      <c r="O49" s="11"/>
      <c r="P49" s="6">
        <v>3797.31</v>
      </c>
      <c r="Q49" s="2"/>
      <c r="R49" s="7">
        <f t="shared" si="33"/>
        <v>3.8950364649044529</v>
      </c>
      <c r="S49" s="2"/>
      <c r="T49" s="6">
        <v>3944</v>
      </c>
      <c r="U49" s="2"/>
      <c r="V49" s="7">
        <f t="shared" si="34"/>
        <v>0</v>
      </c>
      <c r="W49" s="2"/>
      <c r="X49" s="6">
        <f t="shared" si="35"/>
        <v>-146.69000000000005</v>
      </c>
      <c r="Y49" s="2"/>
      <c r="Z49" s="7">
        <f t="shared" si="36"/>
        <v>-3.7193204868154174E-2</v>
      </c>
    </row>
    <row r="50" spans="1:26" s="29" customFormat="1" outlineLevel="1" collapsed="1" x14ac:dyDescent="0.25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25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>
        <v>0</v>
      </c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/>
      <c r="Q51" s="2"/>
      <c r="R51" s="7">
        <f t="shared" si="33"/>
        <v>0</v>
      </c>
      <c r="S51" s="2"/>
      <c r="T51" s="6">
        <v>0</v>
      </c>
      <c r="U51" s="2"/>
      <c r="V51" s="7">
        <f t="shared" si="34"/>
        <v>0</v>
      </c>
      <c r="W51" s="2"/>
      <c r="X51" s="6">
        <f t="shared" si="35"/>
        <v>0</v>
      </c>
      <c r="Y51" s="2"/>
      <c r="Z51" s="7">
        <f t="shared" si="36"/>
        <v>0</v>
      </c>
    </row>
    <row r="52" spans="1:26" s="29" customFormat="1" outlineLevel="1" collapsed="1" x14ac:dyDescent="0.25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SUM(OSRRefD22_6x_0)</f>
        <v>7.28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7.28</v>
      </c>
      <c r="M52" s="1"/>
      <c r="N52" s="5">
        <f t="shared" si="32"/>
        <v>0</v>
      </c>
      <c r="O52" s="14"/>
      <c r="P52" s="1">
        <f>SUM(OSRRefP22_6x_0)</f>
        <v>7.28</v>
      </c>
      <c r="Q52" s="1"/>
      <c r="R52" s="5">
        <f t="shared" si="33"/>
        <v>7.467355961063073E-3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7.28</v>
      </c>
      <c r="Y52" s="1"/>
      <c r="Z52" s="5">
        <f t="shared" si="36"/>
        <v>0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>
        <v>7.28</v>
      </c>
      <c r="E53" s="2"/>
      <c r="F53" s="7">
        <f t="shared" si="29"/>
        <v>0</v>
      </c>
      <c r="G53" s="2"/>
      <c r="H53" s="6">
        <v>0</v>
      </c>
      <c r="I53" s="2"/>
      <c r="J53" s="7">
        <f t="shared" si="30"/>
        <v>0</v>
      </c>
      <c r="K53" s="2"/>
      <c r="L53" s="6">
        <f t="shared" si="31"/>
        <v>7.28</v>
      </c>
      <c r="M53" s="2"/>
      <c r="N53" s="7">
        <f t="shared" si="32"/>
        <v>0</v>
      </c>
      <c r="O53" s="11"/>
      <c r="P53" s="6">
        <v>7.28</v>
      </c>
      <c r="Q53" s="2"/>
      <c r="R53" s="7">
        <f t="shared" si="33"/>
        <v>7.467355961063073E-3</v>
      </c>
      <c r="S53" s="2"/>
      <c r="T53" s="6">
        <v>0</v>
      </c>
      <c r="U53" s="2"/>
      <c r="V53" s="7">
        <f t="shared" si="34"/>
        <v>0</v>
      </c>
      <c r="W53" s="2"/>
      <c r="X53" s="6">
        <f t="shared" si="35"/>
        <v>7.28</v>
      </c>
      <c r="Y53" s="2"/>
      <c r="Z53" s="7">
        <f t="shared" si="36"/>
        <v>0</v>
      </c>
    </row>
    <row r="54" spans="1:26" s="29" customFormat="1" outlineLevel="1" collapsed="1" x14ac:dyDescent="0.25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SUM(OSRRefD22_7x_0)</f>
        <v>39.299999999999997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39.299999999999997</v>
      </c>
      <c r="M54" s="1"/>
      <c r="N54" s="5">
        <f t="shared" si="32"/>
        <v>0</v>
      </c>
      <c r="O54" s="14"/>
      <c r="P54" s="1">
        <f>SUM(OSRRefP22_7x_0)</f>
        <v>39.299999999999997</v>
      </c>
      <c r="Q54" s="1"/>
      <c r="R54" s="5">
        <f t="shared" si="33"/>
        <v>4.0311413361233346E-2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39.299999999999997</v>
      </c>
      <c r="Y54" s="1"/>
      <c r="Z54" s="5">
        <f t="shared" si="36"/>
        <v>0</v>
      </c>
    </row>
    <row r="55" spans="1:26" s="24" customFormat="1" hidden="1" outlineLevel="2" x14ac:dyDescent="0.25">
      <c r="A55" s="27"/>
      <c r="B55" s="11" t="str">
        <f>CONCATENATE("          ", "6373", " - ", "MAINTENANCE CONTRACTS")</f>
        <v xml:space="preserve">          6373 - MAINTENANCE CONTRACTS</v>
      </c>
      <c r="C55" s="11"/>
      <c r="D55" s="6">
        <v>39.299999999999997</v>
      </c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39.299999999999997</v>
      </c>
      <c r="M55" s="2"/>
      <c r="N55" s="7">
        <f t="shared" si="32"/>
        <v>0</v>
      </c>
      <c r="O55" s="11"/>
      <c r="P55" s="6">
        <v>39.299999999999997</v>
      </c>
      <c r="Q55" s="2"/>
      <c r="R55" s="7">
        <f t="shared" si="33"/>
        <v>4.0311413361233346E-2</v>
      </c>
      <c r="S55" s="2"/>
      <c r="T55" s="6"/>
      <c r="U55" s="2"/>
      <c r="V55" s="7">
        <f t="shared" si="34"/>
        <v>0</v>
      </c>
      <c r="W55" s="2"/>
      <c r="X55" s="6">
        <f t="shared" si="35"/>
        <v>39.299999999999997</v>
      </c>
      <c r="Y55" s="2"/>
      <c r="Z55" s="7">
        <f t="shared" si="36"/>
        <v>0</v>
      </c>
    </row>
    <row r="56" spans="1:26" s="29" customFormat="1" outlineLevel="1" collapsed="1" x14ac:dyDescent="0.25">
      <c r="A56" s="28"/>
      <c r="B56" s="14" t="str">
        <f>CONCATENATE("     ","Royalty &amp; Commissions                             ")</f>
        <v xml:space="preserve">     Royalty &amp; Commissions                             </v>
      </c>
      <c r="C56" s="14"/>
      <c r="D56" s="1">
        <f>SUM(OSRRefD22_8x_0)</f>
        <v>0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0</v>
      </c>
      <c r="M56" s="1"/>
      <c r="N56" s="5">
        <f t="shared" si="32"/>
        <v>0</v>
      </c>
      <c r="O56" s="14"/>
      <c r="P56" s="1">
        <f>SUM(OSRRefP22_8x_0)</f>
        <v>0</v>
      </c>
      <c r="Q56" s="1"/>
      <c r="R56" s="5">
        <f t="shared" si="33"/>
        <v>0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0</v>
      </c>
      <c r="Y56" s="1"/>
      <c r="Z56" s="5">
        <f t="shared" si="36"/>
        <v>0</v>
      </c>
    </row>
    <row r="57" spans="1:26" s="24" customFormat="1" hidden="1" outlineLevel="2" x14ac:dyDescent="0.25">
      <c r="A57" s="27"/>
      <c r="B57" s="11" t="str">
        <f>CONCATENATE("          ", "6259", " - ", "ROYALTY &amp; COMMISSIONS")</f>
        <v xml:space="preserve">          6259 - ROYALTY &amp; COMMISSIONS</v>
      </c>
      <c r="C57" s="11"/>
      <c r="D57" s="6"/>
      <c r="E57" s="2"/>
      <c r="F57" s="7">
        <f t="shared" si="29"/>
        <v>0</v>
      </c>
      <c r="G57" s="2"/>
      <c r="H57" s="6">
        <v>0</v>
      </c>
      <c r="I57" s="2"/>
      <c r="J57" s="7">
        <f t="shared" si="30"/>
        <v>0</v>
      </c>
      <c r="K57" s="2"/>
      <c r="L57" s="6">
        <f t="shared" si="31"/>
        <v>0</v>
      </c>
      <c r="M57" s="2"/>
      <c r="N57" s="7">
        <f t="shared" si="32"/>
        <v>0</v>
      </c>
      <c r="O57" s="11"/>
      <c r="P57" s="6"/>
      <c r="Q57" s="2"/>
      <c r="R57" s="7">
        <f t="shared" si="33"/>
        <v>0</v>
      </c>
      <c r="S57" s="2"/>
      <c r="T57" s="6">
        <v>0</v>
      </c>
      <c r="U57" s="2"/>
      <c r="V57" s="7">
        <f t="shared" si="34"/>
        <v>0</v>
      </c>
      <c r="W57" s="2"/>
      <c r="X57" s="6">
        <f t="shared" si="35"/>
        <v>0</v>
      </c>
      <c r="Y57" s="2"/>
      <c r="Z57" s="7">
        <f t="shared" si="36"/>
        <v>0</v>
      </c>
    </row>
    <row r="58" spans="1:26" s="29" customFormat="1" outlineLevel="1" collapsed="1" x14ac:dyDescent="0.25">
      <c r="A58" s="28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SUM(OSRRefD22_9x_0)</f>
        <v>0</v>
      </c>
      <c r="E58" s="1"/>
      <c r="F58" s="5">
        <f t="shared" si="29"/>
        <v>0</v>
      </c>
      <c r="G58" s="1"/>
      <c r="H58" s="1">
        <f>SUM(OSRRefH22_9x_0)</f>
        <v>0</v>
      </c>
      <c r="I58" s="1"/>
      <c r="J58" s="5">
        <f t="shared" si="30"/>
        <v>0</v>
      </c>
      <c r="K58" s="1"/>
      <c r="L58" s="1">
        <f t="shared" si="31"/>
        <v>0</v>
      </c>
      <c r="M58" s="1"/>
      <c r="N58" s="5">
        <f t="shared" si="32"/>
        <v>0</v>
      </c>
      <c r="O58" s="14"/>
      <c r="P58" s="1">
        <f>SUM(OSRRefP22_9x_0)</f>
        <v>0</v>
      </c>
      <c r="Q58" s="1"/>
      <c r="R58" s="5">
        <f t="shared" si="33"/>
        <v>0</v>
      </c>
      <c r="S58" s="1"/>
      <c r="T58" s="1">
        <f>SUM(OSRRefT22_9x_0)</f>
        <v>0</v>
      </c>
      <c r="U58" s="1"/>
      <c r="V58" s="5">
        <f t="shared" si="34"/>
        <v>0</v>
      </c>
      <c r="W58" s="1"/>
      <c r="X58" s="1">
        <f t="shared" si="35"/>
        <v>0</v>
      </c>
      <c r="Y58" s="1"/>
      <c r="Z58" s="5">
        <f t="shared" si="36"/>
        <v>0</v>
      </c>
    </row>
    <row r="59" spans="1:26" s="24" customFormat="1" hidden="1" outlineLevel="2" x14ac:dyDescent="0.25">
      <c r="A59" s="27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29"/>
        <v>0</v>
      </c>
      <c r="G59" s="2"/>
      <c r="H59" s="6">
        <v>0</v>
      </c>
      <c r="I59" s="2"/>
      <c r="J59" s="7">
        <f t="shared" si="30"/>
        <v>0</v>
      </c>
      <c r="K59" s="2"/>
      <c r="L59" s="6">
        <f t="shared" si="31"/>
        <v>0</v>
      </c>
      <c r="M59" s="2"/>
      <c r="N59" s="7">
        <f t="shared" si="32"/>
        <v>0</v>
      </c>
      <c r="O59" s="11"/>
      <c r="P59" s="6"/>
      <c r="Q59" s="2"/>
      <c r="R59" s="7">
        <f t="shared" si="33"/>
        <v>0</v>
      </c>
      <c r="S59" s="2"/>
      <c r="T59" s="6">
        <v>0</v>
      </c>
      <c r="U59" s="2"/>
      <c r="V59" s="7">
        <f t="shared" si="34"/>
        <v>0</v>
      </c>
      <c r="W59" s="2"/>
      <c r="X59" s="6">
        <f t="shared" si="35"/>
        <v>0</v>
      </c>
      <c r="Y59" s="2"/>
      <c r="Z59" s="7">
        <f t="shared" si="36"/>
        <v>0</v>
      </c>
    </row>
    <row r="60" spans="1:26" s="29" customFormat="1" outlineLevel="1" collapsed="1" x14ac:dyDescent="0.25">
      <c r="A60" s="28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si="29"/>
        <v>0</v>
      </c>
      <c r="G60" s="1"/>
      <c r="H60" s="1">
        <f>SUM(OSRRefH22_10x_0)</f>
        <v>0</v>
      </c>
      <c r="I60" s="1"/>
      <c r="J60" s="5">
        <f t="shared" si="30"/>
        <v>0</v>
      </c>
      <c r="K60" s="1"/>
      <c r="L60" s="1">
        <f t="shared" si="31"/>
        <v>0</v>
      </c>
      <c r="M60" s="1"/>
      <c r="N60" s="5">
        <f t="shared" si="32"/>
        <v>0</v>
      </c>
      <c r="O60" s="14"/>
      <c r="P60" s="1">
        <f>SUM(OSRRefP22_10x_0)</f>
        <v>0</v>
      </c>
      <c r="Q60" s="1"/>
      <c r="R60" s="5">
        <f t="shared" si="33"/>
        <v>0</v>
      </c>
      <c r="S60" s="1"/>
      <c r="T60" s="1">
        <f>SUM(OSRRefT22_10x_0)</f>
        <v>0</v>
      </c>
      <c r="U60" s="1"/>
      <c r="V60" s="5">
        <f t="shared" si="34"/>
        <v>0</v>
      </c>
      <c r="W60" s="1"/>
      <c r="X60" s="1">
        <f t="shared" si="35"/>
        <v>0</v>
      </c>
      <c r="Y60" s="1"/>
      <c r="Z60" s="5">
        <f t="shared" si="36"/>
        <v>0</v>
      </c>
    </row>
    <row r="61" spans="1:26" s="24" customFormat="1" hidden="1" outlineLevel="2" x14ac:dyDescent="0.25">
      <c r="A61" s="27"/>
      <c r="B61" s="11" t="str">
        <f>CONCATENATE("          ", "6275", " - ", "SUBSCRIPTIONS")</f>
        <v xml:space="preserve">          6275 - SUBSCRIPTIONS</v>
      </c>
      <c r="C61" s="11"/>
      <c r="D61" s="6"/>
      <c r="E61" s="2"/>
      <c r="F61" s="7">
        <f t="shared" si="29"/>
        <v>0</v>
      </c>
      <c r="G61" s="2"/>
      <c r="H61" s="6">
        <v>0</v>
      </c>
      <c r="I61" s="2"/>
      <c r="J61" s="7">
        <f t="shared" si="30"/>
        <v>0</v>
      </c>
      <c r="K61" s="2"/>
      <c r="L61" s="6">
        <f t="shared" si="31"/>
        <v>0</v>
      </c>
      <c r="M61" s="2"/>
      <c r="N61" s="7">
        <f t="shared" si="32"/>
        <v>0</v>
      </c>
      <c r="O61" s="11"/>
      <c r="P61" s="6"/>
      <c r="Q61" s="2"/>
      <c r="R61" s="7">
        <f t="shared" si="33"/>
        <v>0</v>
      </c>
      <c r="S61" s="2"/>
      <c r="T61" s="6">
        <v>0</v>
      </c>
      <c r="U61" s="2"/>
      <c r="V61" s="7">
        <f t="shared" si="34"/>
        <v>0</v>
      </c>
      <c r="W61" s="2"/>
      <c r="X61" s="6">
        <f t="shared" si="35"/>
        <v>0</v>
      </c>
      <c r="Y61" s="2"/>
      <c r="Z61" s="7">
        <f t="shared" si="36"/>
        <v>0</v>
      </c>
    </row>
    <row r="62" spans="1:26" s="29" customFormat="1" outlineLevel="1" collapsed="1" x14ac:dyDescent="0.25">
      <c r="A62" s="28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0</v>
      </c>
      <c r="E62" s="1"/>
      <c r="F62" s="5">
        <f t="shared" si="29"/>
        <v>0</v>
      </c>
      <c r="G62" s="1"/>
      <c r="H62" s="1">
        <f>SUM(OSRRefH22_11x_0)</f>
        <v>0</v>
      </c>
      <c r="I62" s="1"/>
      <c r="J62" s="5">
        <f t="shared" si="30"/>
        <v>0</v>
      </c>
      <c r="K62" s="1"/>
      <c r="L62" s="1">
        <f t="shared" si="31"/>
        <v>0</v>
      </c>
      <c r="M62" s="1"/>
      <c r="N62" s="5">
        <f t="shared" si="32"/>
        <v>0</v>
      </c>
      <c r="O62" s="14"/>
      <c r="P62" s="1">
        <f>SUM(OSRRefP22_11x_0)</f>
        <v>0</v>
      </c>
      <c r="Q62" s="1"/>
      <c r="R62" s="5">
        <f t="shared" si="33"/>
        <v>0</v>
      </c>
      <c r="S62" s="1"/>
      <c r="T62" s="1">
        <f>SUM(OSRRefT22_11x_0)</f>
        <v>0</v>
      </c>
      <c r="U62" s="1"/>
      <c r="V62" s="5">
        <f t="shared" si="34"/>
        <v>0</v>
      </c>
      <c r="W62" s="1"/>
      <c r="X62" s="1">
        <f t="shared" si="35"/>
        <v>0</v>
      </c>
      <c r="Y62" s="1"/>
      <c r="Z62" s="5">
        <f t="shared" si="36"/>
        <v>0</v>
      </c>
    </row>
    <row r="63" spans="1:26" s="24" customFormat="1" hidden="1" outlineLevel="2" x14ac:dyDescent="0.25">
      <c r="A63" s="27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29"/>
        <v>0</v>
      </c>
      <c r="G63" s="2"/>
      <c r="H63" s="6">
        <v>0</v>
      </c>
      <c r="I63" s="2"/>
      <c r="J63" s="7">
        <f t="shared" si="30"/>
        <v>0</v>
      </c>
      <c r="K63" s="2"/>
      <c r="L63" s="6">
        <f t="shared" si="31"/>
        <v>0</v>
      </c>
      <c r="M63" s="2"/>
      <c r="N63" s="7">
        <f t="shared" si="32"/>
        <v>0</v>
      </c>
      <c r="O63" s="11"/>
      <c r="P63" s="6"/>
      <c r="Q63" s="2"/>
      <c r="R63" s="7">
        <f t="shared" si="33"/>
        <v>0</v>
      </c>
      <c r="S63" s="2"/>
      <c r="T63" s="6">
        <v>0</v>
      </c>
      <c r="U63" s="2"/>
      <c r="V63" s="7">
        <f t="shared" si="34"/>
        <v>0</v>
      </c>
      <c r="W63" s="2"/>
      <c r="X63" s="6">
        <f t="shared" si="35"/>
        <v>0</v>
      </c>
      <c r="Y63" s="2"/>
      <c r="Z63" s="7">
        <f t="shared" si="36"/>
        <v>0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6"/>
      <c r="E64" s="2"/>
      <c r="F64" s="7">
        <f t="shared" si="29"/>
        <v>0</v>
      </c>
      <c r="G64" s="2"/>
      <c r="H64" s="6">
        <v>0</v>
      </c>
      <c r="I64" s="2"/>
      <c r="J64" s="7">
        <f t="shared" si="30"/>
        <v>0</v>
      </c>
      <c r="K64" s="2"/>
      <c r="L64" s="6">
        <f t="shared" si="31"/>
        <v>0</v>
      </c>
      <c r="M64" s="2"/>
      <c r="N64" s="7">
        <f t="shared" si="32"/>
        <v>0</v>
      </c>
      <c r="O64" s="11"/>
      <c r="P64" s="6"/>
      <c r="Q64" s="2"/>
      <c r="R64" s="7">
        <f t="shared" si="33"/>
        <v>0</v>
      </c>
      <c r="S64" s="2"/>
      <c r="T64" s="6">
        <v>0</v>
      </c>
      <c r="U64" s="2"/>
      <c r="V64" s="7">
        <f t="shared" si="34"/>
        <v>0</v>
      </c>
      <c r="W64" s="2"/>
      <c r="X64" s="6">
        <f t="shared" si="35"/>
        <v>0</v>
      </c>
      <c r="Y64" s="2"/>
      <c r="Z64" s="7">
        <f t="shared" si="36"/>
        <v>0</v>
      </c>
    </row>
    <row r="65" spans="1:26" s="24" customFormat="1" hidden="1" outlineLevel="2" x14ac:dyDescent="0.25">
      <c r="A65" s="27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29"/>
        <v>0</v>
      </c>
      <c r="G65" s="2"/>
      <c r="H65" s="6">
        <v>0</v>
      </c>
      <c r="I65" s="2"/>
      <c r="J65" s="7">
        <f t="shared" si="30"/>
        <v>0</v>
      </c>
      <c r="K65" s="2"/>
      <c r="L65" s="6">
        <f t="shared" si="31"/>
        <v>0</v>
      </c>
      <c r="M65" s="2"/>
      <c r="N65" s="7">
        <f t="shared" si="32"/>
        <v>0</v>
      </c>
      <c r="O65" s="11"/>
      <c r="P65" s="6"/>
      <c r="Q65" s="2"/>
      <c r="R65" s="7">
        <f t="shared" si="33"/>
        <v>0</v>
      </c>
      <c r="S65" s="2"/>
      <c r="T65" s="6">
        <v>0</v>
      </c>
      <c r="U65" s="2"/>
      <c r="V65" s="7">
        <f t="shared" si="34"/>
        <v>0</v>
      </c>
      <c r="W65" s="2"/>
      <c r="X65" s="6">
        <f t="shared" si="35"/>
        <v>0</v>
      </c>
      <c r="Y65" s="2"/>
      <c r="Z65" s="7">
        <f t="shared" si="36"/>
        <v>0</v>
      </c>
    </row>
    <row r="66" spans="1:26" s="29" customFormat="1" outlineLevel="1" collapsed="1" x14ac:dyDescent="0.25">
      <c r="A66" s="28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0</v>
      </c>
      <c r="E66" s="1"/>
      <c r="F66" s="5">
        <f t="shared" ref="F66:F71" si="37">IF(D$12=0,0,D66/D$12)</f>
        <v>0</v>
      </c>
      <c r="G66" s="1"/>
      <c r="H66" s="1">
        <f>SUM(OSRRefH22_12x_0)</f>
        <v>0</v>
      </c>
      <c r="I66" s="1"/>
      <c r="J66" s="5">
        <f t="shared" ref="J66:J71" si="38">IF(H$12=0,0,H66/H$12)</f>
        <v>0</v>
      </c>
      <c r="K66" s="1"/>
      <c r="L66" s="1">
        <f t="shared" ref="L66:L71" si="39">+D66-H66</f>
        <v>0</v>
      </c>
      <c r="M66" s="1"/>
      <c r="N66" s="5">
        <f t="shared" ref="N66:N71" si="40">IF(H66=0,0,L66/H66)</f>
        <v>0</v>
      </c>
      <c r="O66" s="14"/>
      <c r="P66" s="1">
        <f>SUM(OSRRefP22_12x_0)</f>
        <v>0</v>
      </c>
      <c r="Q66" s="1"/>
      <c r="R66" s="5">
        <f t="shared" ref="R66:R71" si="41">IF(P$12=0,0,P66/P$12)</f>
        <v>0</v>
      </c>
      <c r="S66" s="1"/>
      <c r="T66" s="1">
        <f>SUM(OSRRefT22_12x_0)</f>
        <v>0</v>
      </c>
      <c r="U66" s="1"/>
      <c r="V66" s="5">
        <f t="shared" ref="V66:V71" si="42">IF(T$12=0,0,T66/T$12)</f>
        <v>0</v>
      </c>
      <c r="W66" s="1"/>
      <c r="X66" s="1">
        <f t="shared" ref="X66:X71" si="43">+P66-T66</f>
        <v>0</v>
      </c>
      <c r="Y66" s="1"/>
      <c r="Z66" s="5">
        <f t="shared" ref="Z66:Z71" si="44">IF(T66=0,0,X66/T66)</f>
        <v>0</v>
      </c>
    </row>
    <row r="67" spans="1:26" s="24" customFormat="1" hidden="1" outlineLevel="2" x14ac:dyDescent="0.25">
      <c r="A67" s="27"/>
      <c r="B67" s="11" t="str">
        <f>CONCATENATE("          ", "6309", " - ", "TELEPHONE")</f>
        <v xml:space="preserve">          6309 - TELEPHONE</v>
      </c>
      <c r="C67" s="11"/>
      <c r="D67" s="6"/>
      <c r="E67" s="2"/>
      <c r="F67" s="7">
        <f t="shared" si="37"/>
        <v>0</v>
      </c>
      <c r="G67" s="2"/>
      <c r="H67" s="6">
        <v>0</v>
      </c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0</v>
      </c>
      <c r="Y67" s="2"/>
      <c r="Z67" s="7">
        <f t="shared" si="44"/>
        <v>0</v>
      </c>
    </row>
    <row r="68" spans="1:26" s="29" customFormat="1" outlineLevel="1" collapsed="1" x14ac:dyDescent="0.25">
      <c r="A68" s="28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0</v>
      </c>
      <c r="E68" s="1"/>
      <c r="F68" s="5">
        <f t="shared" si="37"/>
        <v>0</v>
      </c>
      <c r="G68" s="1"/>
      <c r="H68" s="1">
        <f>SUM(OSRRefH22_13x_0)</f>
        <v>0</v>
      </c>
      <c r="I68" s="1"/>
      <c r="J68" s="5">
        <f t="shared" si="38"/>
        <v>0</v>
      </c>
      <c r="K68" s="1"/>
      <c r="L68" s="1">
        <f t="shared" si="39"/>
        <v>0</v>
      </c>
      <c r="M68" s="1"/>
      <c r="N68" s="5">
        <f t="shared" si="40"/>
        <v>0</v>
      </c>
      <c r="O68" s="14"/>
      <c r="P68" s="1">
        <f>SUM(OSRRefP22_13x_0)</f>
        <v>0</v>
      </c>
      <c r="Q68" s="1"/>
      <c r="R68" s="5">
        <f t="shared" si="41"/>
        <v>0</v>
      </c>
      <c r="S68" s="1"/>
      <c r="T68" s="1">
        <f>SUM(OSRRefT22_13x_0)</f>
        <v>0</v>
      </c>
      <c r="U68" s="1"/>
      <c r="V68" s="5">
        <f t="shared" si="42"/>
        <v>0</v>
      </c>
      <c r="W68" s="1"/>
      <c r="X68" s="1">
        <f t="shared" si="43"/>
        <v>0</v>
      </c>
      <c r="Y68" s="1"/>
      <c r="Z68" s="5">
        <f t="shared" si="44"/>
        <v>0</v>
      </c>
    </row>
    <row r="69" spans="1:26" s="24" customFormat="1" hidden="1" outlineLevel="2" x14ac:dyDescent="0.25">
      <c r="A69" s="27"/>
      <c r="B69" s="11" t="str">
        <f>CONCATENATE("          ", "6376", " - ", "TRAINING")</f>
        <v xml:space="preserve">          6376 - TRAINING</v>
      </c>
      <c r="C69" s="11"/>
      <c r="D69" s="6"/>
      <c r="E69" s="2"/>
      <c r="F69" s="7">
        <f t="shared" si="37"/>
        <v>0</v>
      </c>
      <c r="G69" s="2"/>
      <c r="H69" s="6"/>
      <c r="I69" s="2"/>
      <c r="J69" s="7">
        <f t="shared" si="38"/>
        <v>0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/>
      <c r="Q69" s="2"/>
      <c r="R69" s="7">
        <f t="shared" si="41"/>
        <v>0</v>
      </c>
      <c r="S69" s="2"/>
      <c r="T69" s="6">
        <v>0</v>
      </c>
      <c r="U69" s="2"/>
      <c r="V69" s="7">
        <f t="shared" si="42"/>
        <v>0</v>
      </c>
      <c r="W69" s="2"/>
      <c r="X69" s="6">
        <f t="shared" si="43"/>
        <v>0</v>
      </c>
      <c r="Y69" s="2"/>
      <c r="Z69" s="7">
        <f t="shared" si="44"/>
        <v>0</v>
      </c>
    </row>
    <row r="70" spans="1:26" s="29" customFormat="1" outlineLevel="1" collapsed="1" x14ac:dyDescent="0.25">
      <c r="A70" s="28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SUM(OSRRefD22_14x_0)</f>
        <v>0</v>
      </c>
      <c r="E70" s="1"/>
      <c r="F70" s="5">
        <f t="shared" si="37"/>
        <v>0</v>
      </c>
      <c r="G70" s="1"/>
      <c r="H70" s="1">
        <f>SUM(OSRRefH22_14x_0)</f>
        <v>0</v>
      </c>
      <c r="I70" s="1"/>
      <c r="J70" s="5">
        <f t="shared" si="38"/>
        <v>0</v>
      </c>
      <c r="K70" s="1"/>
      <c r="L70" s="1">
        <f t="shared" si="39"/>
        <v>0</v>
      </c>
      <c r="M70" s="1"/>
      <c r="N70" s="5">
        <f t="shared" si="40"/>
        <v>0</v>
      </c>
      <c r="O70" s="14"/>
      <c r="P70" s="1">
        <f>SUM(OSRRefP22_14x_0)</f>
        <v>0</v>
      </c>
      <c r="Q70" s="1"/>
      <c r="R70" s="5">
        <f t="shared" si="41"/>
        <v>0</v>
      </c>
      <c r="S70" s="1"/>
      <c r="T70" s="1">
        <f>SUM(OSRRefT22_14x_0)</f>
        <v>0</v>
      </c>
      <c r="U70" s="1"/>
      <c r="V70" s="5">
        <f t="shared" si="42"/>
        <v>0</v>
      </c>
      <c r="W70" s="1"/>
      <c r="X70" s="1">
        <f t="shared" si="43"/>
        <v>0</v>
      </c>
      <c r="Y70" s="1"/>
      <c r="Z70" s="5">
        <f t="shared" si="44"/>
        <v>0</v>
      </c>
    </row>
    <row r="71" spans="1:26" s="24" customFormat="1" hidden="1" outlineLevel="2" x14ac:dyDescent="0.25">
      <c r="A71" s="27"/>
      <c r="B71" s="11" t="str">
        <f>CONCATENATE("          ", "6292", " - ", "TRAVEL/CONFERENCE")</f>
        <v xml:space="preserve">          6292 - TRAVEL/CONFERENCE</v>
      </c>
      <c r="C71" s="11"/>
      <c r="D71" s="6"/>
      <c r="E71" s="2"/>
      <c r="F71" s="7">
        <f t="shared" si="37"/>
        <v>0</v>
      </c>
      <c r="G71" s="2"/>
      <c r="H71" s="6"/>
      <c r="I71" s="2"/>
      <c r="J71" s="7">
        <f t="shared" si="38"/>
        <v>0</v>
      </c>
      <c r="K71" s="2"/>
      <c r="L71" s="6">
        <f t="shared" si="39"/>
        <v>0</v>
      </c>
      <c r="M71" s="2"/>
      <c r="N71" s="7">
        <f t="shared" si="40"/>
        <v>0</v>
      </c>
      <c r="O71" s="11"/>
      <c r="P71" s="6"/>
      <c r="Q71" s="2"/>
      <c r="R71" s="7">
        <f t="shared" si="41"/>
        <v>0</v>
      </c>
      <c r="S71" s="2"/>
      <c r="T71" s="6">
        <v>0</v>
      </c>
      <c r="U71" s="2"/>
      <c r="V71" s="7">
        <f t="shared" si="42"/>
        <v>0</v>
      </c>
      <c r="W71" s="2"/>
      <c r="X71" s="6">
        <f t="shared" si="43"/>
        <v>0</v>
      </c>
      <c r="Y71" s="2"/>
      <c r="Z71" s="7">
        <f t="shared" si="44"/>
        <v>0</v>
      </c>
    </row>
    <row r="72" spans="1:26" s="61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2" customFormat="1" x14ac:dyDescent="0.25">
      <c r="A73" s="10"/>
      <c r="B73" s="25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2" customFormat="1" x14ac:dyDescent="0.25">
      <c r="A75" s="10"/>
      <c r="B75" s="26" t="s">
        <v>3</v>
      </c>
      <c r="C75" s="26"/>
      <c r="D75" s="21">
        <f>+D20-D22+D73</f>
        <v>-1871.84</v>
      </c>
      <c r="E75" s="13"/>
      <c r="F75" s="20">
        <f>IF(D$12=0,0,D75/D$12)</f>
        <v>0</v>
      </c>
      <c r="G75" s="13"/>
      <c r="H75" s="21">
        <f>+H20-H22+H73</f>
        <v>-1972</v>
      </c>
      <c r="I75" s="13"/>
      <c r="J75" s="20">
        <f>IF(H$12=0,0,H75/H$12)</f>
        <v>0</v>
      </c>
      <c r="K75" s="16"/>
      <c r="L75" s="21">
        <f>+D75-H75</f>
        <v>100.16000000000008</v>
      </c>
      <c r="M75" s="16"/>
      <c r="N75" s="20">
        <f>IF(H75=0,0,L75/H75)</f>
        <v>-5.0791075050709983E-2</v>
      </c>
      <c r="O75" s="25"/>
      <c r="P75" s="21">
        <f>+P20-P22+P73</f>
        <v>-3571.49</v>
      </c>
      <c r="Q75" s="13"/>
      <c r="R75" s="20">
        <f>IF(P$12=0,0,P75/P$12)</f>
        <v>-3.6634048271122461</v>
      </c>
      <c r="S75" s="13"/>
      <c r="T75" s="21">
        <f>+T20-T22+T73</f>
        <v>-3944</v>
      </c>
      <c r="U75" s="13"/>
      <c r="V75" s="20">
        <f>IF(T$12=0,0,T75/T$12)</f>
        <v>0</v>
      </c>
      <c r="W75" s="16"/>
      <c r="X75" s="21">
        <f>+P75-T75</f>
        <v>372.51000000000022</v>
      </c>
      <c r="Y75" s="16"/>
      <c r="Z75" s="20">
        <f>IF(T75=0,0,X75/T75)</f>
        <v>-9.4449797160243459E-2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2" customFormat="1" x14ac:dyDescent="0.25">
      <c r="A77" s="52"/>
      <c r="B77" s="10" t="s">
        <v>14</v>
      </c>
      <c r="C77" s="10"/>
      <c r="D77" s="4">
        <v>-304.27999999999997</v>
      </c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-304.27999999999997</v>
      </c>
      <c r="M77" s="4"/>
      <c r="N77" s="12">
        <f>IF(H77=0,0,L77/H77)</f>
        <v>0</v>
      </c>
      <c r="O77" s="10"/>
      <c r="P77" s="4">
        <v>164.6</v>
      </c>
      <c r="Q77" s="4"/>
      <c r="R77" s="12">
        <f>IF(P$12=0,0,P77/P$12)</f>
        <v>0.16883609769106891</v>
      </c>
      <c r="S77" s="4"/>
      <c r="T77" s="4"/>
      <c r="U77" s="4"/>
      <c r="V77" s="12">
        <f>IF(T$12=0,0,T77/T$12)</f>
        <v>0</v>
      </c>
      <c r="W77" s="4"/>
      <c r="X77" s="4">
        <f>+P77-T77</f>
        <v>164.6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2" customFormat="1" ht="15.75" thickBot="1" x14ac:dyDescent="0.3">
      <c r="A79" s="10"/>
      <c r="B79" s="26" t="s">
        <v>4</v>
      </c>
      <c r="C79" s="26"/>
      <c r="D79" s="33">
        <f>+D75-D77</f>
        <v>-1567.56</v>
      </c>
      <c r="E79" s="13"/>
      <c r="F79" s="31">
        <f>IF(D$12=0,0,D79/D$12)</f>
        <v>0</v>
      </c>
      <c r="G79" s="13"/>
      <c r="H79" s="33">
        <f>+H75-H77</f>
        <v>-1972</v>
      </c>
      <c r="I79" s="13"/>
      <c r="J79" s="31">
        <f>IF(H$12=0,0,H79/H$12)</f>
        <v>0</v>
      </c>
      <c r="K79" s="16"/>
      <c r="L79" s="33">
        <f>D79-H79</f>
        <v>404.44000000000005</v>
      </c>
      <c r="M79" s="16"/>
      <c r="N79" s="31">
        <f>IF(H79=0,0,L79/H79)</f>
        <v>-0.20509127789046655</v>
      </c>
      <c r="O79" s="25"/>
      <c r="P79" s="33">
        <f>+P75-P77</f>
        <v>-3736.0899999999997</v>
      </c>
      <c r="Q79" s="13"/>
      <c r="R79" s="31">
        <f>IF(P$12=0,0,P79/P$12)</f>
        <v>-3.8322409248033149</v>
      </c>
      <c r="S79" s="13"/>
      <c r="T79" s="33">
        <f>+T75-T77</f>
        <v>-3944</v>
      </c>
      <c r="U79" s="13"/>
      <c r="V79" s="31">
        <f>IF(T$12=0,0,T79/T$12)</f>
        <v>0</v>
      </c>
      <c r="W79" s="16"/>
      <c r="X79" s="33">
        <f>P79-T79</f>
        <v>207.91000000000031</v>
      </c>
      <c r="Y79" s="16"/>
      <c r="Z79" s="31">
        <f>IF(T79=0,0,X79/T79)</f>
        <v>-5.2715517241379392E-2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2" customFormat="1" ht="15.75" thickBot="1" x14ac:dyDescent="0.3">
      <c r="A82" s="10"/>
      <c r="B82" s="26" t="s">
        <v>5</v>
      </c>
      <c r="C82" s="26"/>
      <c r="D82" s="32">
        <f>SUM(D79:D81)</f>
        <v>-1567.56</v>
      </c>
      <c r="E82" s="13"/>
      <c r="F82" s="35">
        <f>IF(D$12=0,0,D82/D$12)</f>
        <v>0</v>
      </c>
      <c r="G82" s="13"/>
      <c r="H82" s="32">
        <f>SUM(H79:H81)</f>
        <v>-1972</v>
      </c>
      <c r="I82" s="13"/>
      <c r="J82" s="35">
        <f>IF(H$12=0,0,H82/H$12)</f>
        <v>0</v>
      </c>
      <c r="K82" s="16"/>
      <c r="L82" s="32">
        <f>+D82-H82</f>
        <v>404.44000000000005</v>
      </c>
      <c r="M82" s="16"/>
      <c r="N82" s="35">
        <f>IF(H82=0,0,L82/H82)</f>
        <v>-0.20509127789046655</v>
      </c>
      <c r="O82" s="25"/>
      <c r="P82" s="32">
        <f>SUM(P79:P81)</f>
        <v>-3736.0899999999997</v>
      </c>
      <c r="Q82" s="13"/>
      <c r="R82" s="35">
        <f>IF(P$12=0,0,P82/P$12)</f>
        <v>-3.8322409248033149</v>
      </c>
      <c r="S82" s="13"/>
      <c r="T82" s="32">
        <f>SUM(T79:T81)</f>
        <v>-3944</v>
      </c>
      <c r="U82" s="13"/>
      <c r="V82" s="35">
        <f>IF(T$12=0,0,T82/T$12)</f>
        <v>0</v>
      </c>
      <c r="W82" s="16"/>
      <c r="X82" s="32">
        <f>+P82-T82</f>
        <v>207.91000000000031</v>
      </c>
      <c r="Y82" s="16"/>
      <c r="Z82" s="35">
        <f>IF(T82=0,0,X82/T82)</f>
        <v>-5.2715517241379392E-2</v>
      </c>
    </row>
    <row r="83" spans="1:26" ht="15.75" thickTop="1" x14ac:dyDescent="0.25">
      <c r="A83" s="9"/>
      <c r="C83" s="9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6" x14ac:dyDescent="0.25">
      <c r="A84" s="9"/>
      <c r="B84" s="59">
        <v>44113.689870138885</v>
      </c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2" t="s">
        <v>314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63"/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","415", " - ", "Outpost")</f>
        <v>Department 415 - Outpost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4718.9399999999996</v>
      </c>
      <c r="E12" s="4"/>
      <c r="F12" s="12"/>
      <c r="G12" s="4"/>
      <c r="H12" s="4">
        <f>SUM(OSRRefH13x_0)</f>
        <v>8497</v>
      </c>
      <c r="I12" s="4"/>
      <c r="J12" s="12"/>
      <c r="K12" s="4"/>
      <c r="L12" s="4">
        <f t="shared" ref="L12:L16" si="0">+D12-H12</f>
        <v>-3778.0600000000004</v>
      </c>
      <c r="M12" s="4"/>
      <c r="N12" s="12">
        <f t="shared" ref="N12:N16" si="1">IF(H12=0,0,L12/H12)</f>
        <v>-0.44463457690949754</v>
      </c>
      <c r="O12" s="10"/>
      <c r="P12" s="4">
        <f>SUM(OSRRefP13x_0)</f>
        <v>4718.9399999999996</v>
      </c>
      <c r="Q12" s="4"/>
      <c r="R12" s="12"/>
      <c r="S12" s="4"/>
      <c r="T12" s="4">
        <f>SUM(OSRRefT13x_0)</f>
        <v>12832</v>
      </c>
      <c r="U12" s="4"/>
      <c r="V12" s="12"/>
      <c r="W12" s="4"/>
      <c r="X12" s="4">
        <f t="shared" ref="X12:X16" si="2">+P12-T12</f>
        <v>-8113.06</v>
      </c>
      <c r="Y12" s="4"/>
      <c r="Z12" s="12">
        <f t="shared" ref="Z12:Z16" si="3">IF(T12=0,0,X12/T12)</f>
        <v>-0.63225218204488787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3"/>
      <c r="G13" s="2"/>
      <c r="H13" s="2">
        <v>2643</v>
      </c>
      <c r="I13" s="2"/>
      <c r="J13" s="23"/>
      <c r="K13" s="2"/>
      <c r="L13" s="2">
        <f t="shared" si="0"/>
        <v>-2643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3991</v>
      </c>
      <c r="U13" s="2"/>
      <c r="V13" s="23"/>
      <c r="W13" s="2"/>
      <c r="X13" s="2">
        <f t="shared" si="2"/>
        <v>-3991</v>
      </c>
      <c r="Y13" s="2"/>
      <c r="Z13" s="23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--2510.72</f>
        <v>2510.7199999999998</v>
      </c>
      <c r="E14" s="2"/>
      <c r="F14" s="23"/>
      <c r="G14" s="2"/>
      <c r="H14" s="2"/>
      <c r="I14" s="2"/>
      <c r="J14" s="23"/>
      <c r="K14" s="2"/>
      <c r="L14" s="2">
        <f t="shared" si="0"/>
        <v>2510.7199999999998</v>
      </c>
      <c r="M14" s="2"/>
      <c r="N14" s="23">
        <f t="shared" si="1"/>
        <v>0</v>
      </c>
      <c r="O14" s="11"/>
      <c r="P14" s="2">
        <f>--2510.72</f>
        <v>2510.7199999999998</v>
      </c>
      <c r="Q14" s="2"/>
      <c r="R14" s="23"/>
      <c r="S14" s="2"/>
      <c r="T14" s="2"/>
      <c r="U14" s="2"/>
      <c r="V14" s="23"/>
      <c r="W14" s="2"/>
      <c r="X14" s="2">
        <f t="shared" si="2"/>
        <v>2510.7199999999998</v>
      </c>
      <c r="Y14" s="2"/>
      <c r="Z14" s="23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3"/>
      <c r="G15" s="2"/>
      <c r="H15" s="2">
        <v>5854</v>
      </c>
      <c r="I15" s="2"/>
      <c r="J15" s="23"/>
      <c r="K15" s="2"/>
      <c r="L15" s="2">
        <f t="shared" si="0"/>
        <v>-5854</v>
      </c>
      <c r="M15" s="2"/>
      <c r="N15" s="23">
        <f t="shared" si="1"/>
        <v>-1</v>
      </c>
      <c r="O15" s="11"/>
      <c r="P15" s="2">
        <f>0</f>
        <v>0</v>
      </c>
      <c r="Q15" s="2"/>
      <c r="R15" s="23"/>
      <c r="S15" s="2"/>
      <c r="T15" s="2">
        <v>8841</v>
      </c>
      <c r="U15" s="2"/>
      <c r="V15" s="23"/>
      <c r="W15" s="2"/>
      <c r="X15" s="2">
        <f t="shared" si="2"/>
        <v>-8841</v>
      </c>
      <c r="Y15" s="2"/>
      <c r="Z15" s="23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--2208.22</f>
        <v>2208.2199999999998</v>
      </c>
      <c r="E16" s="2"/>
      <c r="F16" s="23"/>
      <c r="G16" s="2"/>
      <c r="H16" s="2"/>
      <c r="I16" s="2"/>
      <c r="J16" s="23"/>
      <c r="K16" s="2"/>
      <c r="L16" s="2">
        <f t="shared" si="0"/>
        <v>2208.2199999999998</v>
      </c>
      <c r="M16" s="2"/>
      <c r="N16" s="23">
        <f t="shared" si="1"/>
        <v>0</v>
      </c>
      <c r="O16" s="11"/>
      <c r="P16" s="2">
        <f>--2208.22</f>
        <v>2208.2199999999998</v>
      </c>
      <c r="Q16" s="2"/>
      <c r="R16" s="23"/>
      <c r="S16" s="2"/>
      <c r="T16" s="2"/>
      <c r="U16" s="2"/>
      <c r="V16" s="23"/>
      <c r="W16" s="2"/>
      <c r="X16" s="2">
        <f t="shared" si="2"/>
        <v>2208.2199999999998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4245.9399999999996</v>
      </c>
      <c r="E18" s="4"/>
      <c r="F18" s="12">
        <f t="shared" ref="F18:F21" si="4">IF(D$12=0,0,D18/D$12)</f>
        <v>0.89976562533111248</v>
      </c>
      <c r="G18" s="4"/>
      <c r="H18" s="4">
        <f>SUM(OSRRefH16x_0)</f>
        <v>3229</v>
      </c>
      <c r="I18" s="4"/>
      <c r="J18" s="12">
        <f t="shared" ref="J18:J21" si="5">IF(H$12=0,0,H18/H$12)</f>
        <v>0.3800164764034365</v>
      </c>
      <c r="K18" s="4"/>
      <c r="L18" s="4">
        <f t="shared" ref="L18:L21" si="6">+D18-H18</f>
        <v>1016.9399999999996</v>
      </c>
      <c r="M18" s="4"/>
      <c r="N18" s="12">
        <f t="shared" ref="N18:N21" si="7">IF(H18=0,0,L18/H18)</f>
        <v>0.31493960978631141</v>
      </c>
      <c r="O18" s="10"/>
      <c r="P18" s="4">
        <f>SUM(OSRRefP16x_0)</f>
        <v>4245.9399999999996</v>
      </c>
      <c r="Q18" s="4"/>
      <c r="R18" s="12">
        <f t="shared" ref="R18:R21" si="8">IF(P$12=0,0,P18/P$12)</f>
        <v>0.89976562533111248</v>
      </c>
      <c r="S18" s="4"/>
      <c r="T18" s="4">
        <f>SUM(OSRRefT16x_0)</f>
        <v>4269</v>
      </c>
      <c r="U18" s="4"/>
      <c r="V18" s="12">
        <f t="shared" ref="V18:V21" si="9">IF(T$12=0,0,T18/T$12)</f>
        <v>0.33268391521197005</v>
      </c>
      <c r="W18" s="4"/>
      <c r="X18" s="4">
        <f t="shared" ref="X18:X21" si="10">+P18-T18</f>
        <v>-23.0600000000004</v>
      </c>
      <c r="Y18" s="4"/>
      <c r="Z18" s="12">
        <f t="shared" ref="Z18:Z21" si="11">IF(T18=0,0,X18/T18)</f>
        <v>-5.4017334270321854E-3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3229</v>
      </c>
      <c r="I19" s="2"/>
      <c r="J19" s="23">
        <f t="shared" si="5"/>
        <v>0.3800164764034365</v>
      </c>
      <c r="K19" s="2"/>
      <c r="L19" s="2">
        <f t="shared" si="6"/>
        <v>-3229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4269</v>
      </c>
      <c r="U19" s="2"/>
      <c r="V19" s="23">
        <f t="shared" si="9"/>
        <v>0.33268391521197005</v>
      </c>
      <c r="W19" s="2"/>
      <c r="X19" s="2">
        <f t="shared" si="10"/>
        <v>-4269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4200.9399999999996</v>
      </c>
      <c r="E20" s="2"/>
      <c r="F20" s="23">
        <f t="shared" si="4"/>
        <v>0.8902295854577511</v>
      </c>
      <c r="G20" s="2"/>
      <c r="H20" s="2"/>
      <c r="I20" s="2"/>
      <c r="J20" s="23">
        <f t="shared" si="5"/>
        <v>0</v>
      </c>
      <c r="K20" s="2"/>
      <c r="L20" s="2">
        <f t="shared" si="6"/>
        <v>4200.9399999999996</v>
      </c>
      <c r="M20" s="2"/>
      <c r="N20" s="23">
        <f t="shared" si="7"/>
        <v>0</v>
      </c>
      <c r="O20" s="11"/>
      <c r="P20" s="2">
        <v>4200.9399999999996</v>
      </c>
      <c r="Q20" s="2"/>
      <c r="R20" s="23">
        <f t="shared" si="8"/>
        <v>0.8902295854577511</v>
      </c>
      <c r="S20" s="2"/>
      <c r="T20" s="2"/>
      <c r="U20" s="2"/>
      <c r="V20" s="23">
        <f t="shared" si="9"/>
        <v>0</v>
      </c>
      <c r="W20" s="2"/>
      <c r="X20" s="2">
        <f t="shared" si="10"/>
        <v>4200.9399999999996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45</v>
      </c>
      <c r="E21" s="2"/>
      <c r="F21" s="23">
        <f t="shared" si="4"/>
        <v>9.5360398733613915E-3</v>
      </c>
      <c r="G21" s="2"/>
      <c r="H21" s="2"/>
      <c r="I21" s="2"/>
      <c r="J21" s="23">
        <f t="shared" si="5"/>
        <v>0</v>
      </c>
      <c r="K21" s="2"/>
      <c r="L21" s="2">
        <f t="shared" si="6"/>
        <v>45</v>
      </c>
      <c r="M21" s="2"/>
      <c r="N21" s="23">
        <f t="shared" si="7"/>
        <v>0</v>
      </c>
      <c r="O21" s="11"/>
      <c r="P21" s="2">
        <v>45</v>
      </c>
      <c r="Q21" s="2"/>
      <c r="R21" s="23">
        <f t="shared" si="8"/>
        <v>9.5360398733613915E-3</v>
      </c>
      <c r="S21" s="2"/>
      <c r="T21" s="2"/>
      <c r="U21" s="2"/>
      <c r="V21" s="23">
        <f t="shared" si="9"/>
        <v>0</v>
      </c>
      <c r="W21" s="2"/>
      <c r="X21" s="2">
        <f t="shared" si="10"/>
        <v>45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473</v>
      </c>
      <c r="E23" s="13"/>
      <c r="F23" s="20">
        <f>IF(D$12=0,0,D23/D$12)</f>
        <v>0.10023437466888752</v>
      </c>
      <c r="G23" s="13"/>
      <c r="H23" s="21">
        <f>H12-H18</f>
        <v>5268</v>
      </c>
      <c r="I23" s="13"/>
      <c r="J23" s="20">
        <f>IF(H$12=0,0,H23/H$12)</f>
        <v>0.6199835235965635</v>
      </c>
      <c r="K23" s="16"/>
      <c r="L23" s="21">
        <f>+D23-H23</f>
        <v>-4795</v>
      </c>
      <c r="M23" s="16"/>
      <c r="N23" s="20">
        <f>IF(H23=0,0,L23/H23)</f>
        <v>-0.91021260440394836</v>
      </c>
      <c r="O23" s="25"/>
      <c r="P23" s="21">
        <f>P12-P18</f>
        <v>473</v>
      </c>
      <c r="Q23" s="13"/>
      <c r="R23" s="20">
        <f>IF(P$12=0,0,P23/P$12)</f>
        <v>0.10023437466888752</v>
      </c>
      <c r="S23" s="13"/>
      <c r="T23" s="21">
        <f>T12-T18</f>
        <v>8563</v>
      </c>
      <c r="U23" s="13"/>
      <c r="V23" s="20">
        <f>IF(T$12=0,0,T23/T$12)</f>
        <v>0.66731608478802995</v>
      </c>
      <c r="W23" s="16"/>
      <c r="X23" s="21">
        <f>+P23-T23</f>
        <v>-8090</v>
      </c>
      <c r="Y23" s="16"/>
      <c r="Z23" s="20">
        <f>IF(T23=0,0,X23/T23)</f>
        <v>-0.94476234964381645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67781.87</v>
      </c>
      <c r="E25" s="19"/>
      <c r="F25" s="30">
        <f t="shared" ref="F25:F35" si="12">IF(D$12=0,0,D25/D$12)</f>
        <v>14.36379144468885</v>
      </c>
      <c r="G25" s="19"/>
      <c r="H25" s="19">
        <f>SUM(OSRRefH22x_0)</f>
        <v>54728.58908509231</v>
      </c>
      <c r="I25" s="19"/>
      <c r="J25" s="30">
        <f t="shared" ref="J25:J35" si="13">IF(H$12=0,0,H25/H$12)</f>
        <v>6.4409308091199611</v>
      </c>
      <c r="K25" s="4"/>
      <c r="L25" s="19">
        <f t="shared" ref="L25:L35" si="14">+D25-H25</f>
        <v>13053.280914907686</v>
      </c>
      <c r="M25" s="4"/>
      <c r="N25" s="30">
        <f t="shared" ref="N25:N35" si="15">IF(H25=0,0,L25/H25)</f>
        <v>0.23850936289646299</v>
      </c>
      <c r="O25" s="10"/>
      <c r="P25" s="19">
        <f>SUM(OSRRefP22x_0)</f>
        <v>124438.71</v>
      </c>
      <c r="Q25" s="19"/>
      <c r="R25" s="30">
        <f t="shared" ref="R25:R35" si="16">IF(P$12=0,0,P25/P$12)</f>
        <v>26.370055563325664</v>
      </c>
      <c r="S25" s="19"/>
      <c r="T25" s="19">
        <f>SUM(OSRRefT22x_0)</f>
        <v>107937.98405145769</v>
      </c>
      <c r="U25" s="19"/>
      <c r="V25" s="30">
        <f t="shared" ref="V25:V35" si="17">IF(T$12=0,0,T25/T$12)</f>
        <v>8.4116259391722021</v>
      </c>
      <c r="W25" s="4"/>
      <c r="X25" s="19">
        <f t="shared" ref="X25:X35" si="18">+P25-T25</f>
        <v>16500.725948542313</v>
      </c>
      <c r="Y25" s="4"/>
      <c r="Z25" s="30">
        <f t="shared" ref="Z25:Z35" si="19">IF(T25=0,0,X25/T25)</f>
        <v>0.15287228211225307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15637.029999999999</v>
      </c>
      <c r="E26" s="1"/>
      <c r="F26" s="5">
        <f t="shared" si="12"/>
        <v>3.313674257354406</v>
      </c>
      <c r="G26" s="1"/>
      <c r="H26" s="1">
        <f>SUM(OSRRefH22_0x_0)</f>
        <v>5935.0470850923102</v>
      </c>
      <c r="I26" s="1"/>
      <c r="J26" s="5">
        <f t="shared" si="13"/>
        <v>0.69848735849032717</v>
      </c>
      <c r="K26" s="1"/>
      <c r="L26" s="1">
        <f t="shared" si="14"/>
        <v>9701.9829149076886</v>
      </c>
      <c r="M26" s="1"/>
      <c r="N26" s="5">
        <f t="shared" si="15"/>
        <v>1.6346935038269861</v>
      </c>
      <c r="O26" s="14"/>
      <c r="P26" s="1">
        <f>SUM(OSRRefP22_0x_0)</f>
        <v>23392.93</v>
      </c>
      <c r="Q26" s="1"/>
      <c r="R26" s="5">
        <f t="shared" si="16"/>
        <v>4.9572425163278195</v>
      </c>
      <c r="S26" s="1"/>
      <c r="T26" s="1">
        <f>SUM(OSRRefT22_0x_0)</f>
        <v>12739.12955145769</v>
      </c>
      <c r="U26" s="1"/>
      <c r="V26" s="5">
        <f t="shared" si="17"/>
        <v>0.99276258973329878</v>
      </c>
      <c r="W26" s="1"/>
      <c r="X26" s="1">
        <f t="shared" si="18"/>
        <v>10653.80044854231</v>
      </c>
      <c r="Y26" s="1"/>
      <c r="Z26" s="5">
        <f t="shared" si="19"/>
        <v>0.83630521265271496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1592.61</v>
      </c>
      <c r="E27" s="2"/>
      <c r="F27" s="7">
        <f t="shared" si="12"/>
        <v>0.33749316583809075</v>
      </c>
      <c r="G27" s="2"/>
      <c r="H27" s="6">
        <v>757.99750740000002</v>
      </c>
      <c r="I27" s="2"/>
      <c r="J27" s="7">
        <f t="shared" si="13"/>
        <v>8.9207662398493592E-2</v>
      </c>
      <c r="K27" s="2"/>
      <c r="L27" s="6">
        <f t="shared" si="14"/>
        <v>834.61249259999988</v>
      </c>
      <c r="M27" s="2"/>
      <c r="N27" s="7">
        <f t="shared" si="15"/>
        <v>1.1010755107398653</v>
      </c>
      <c r="O27" s="11"/>
      <c r="P27" s="6">
        <v>2603.89</v>
      </c>
      <c r="Q27" s="2"/>
      <c r="R27" s="7">
        <f t="shared" si="16"/>
        <v>0.55179553035215534</v>
      </c>
      <c r="S27" s="2"/>
      <c r="T27" s="6">
        <v>1629.88275165</v>
      </c>
      <c r="U27" s="2"/>
      <c r="V27" s="7">
        <f t="shared" si="17"/>
        <v>0.12701704735427058</v>
      </c>
      <c r="W27" s="2"/>
      <c r="X27" s="6">
        <f t="shared" si="18"/>
        <v>974.00724834999983</v>
      </c>
      <c r="Y27" s="2"/>
      <c r="Z27" s="7">
        <f t="shared" si="19"/>
        <v>0.59759344490514466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577.34</v>
      </c>
      <c r="E28" s="2"/>
      <c r="F28" s="7">
        <f t="shared" si="12"/>
        <v>0.1223452724552548</v>
      </c>
      <c r="G28" s="2"/>
      <c r="H28" s="6">
        <v>537.56188199999997</v>
      </c>
      <c r="I28" s="2"/>
      <c r="J28" s="7">
        <f t="shared" si="13"/>
        <v>6.3264903142285514E-2</v>
      </c>
      <c r="K28" s="2"/>
      <c r="L28" s="6">
        <f t="shared" si="14"/>
        <v>39.778118000000063</v>
      </c>
      <c r="M28" s="2"/>
      <c r="N28" s="7">
        <f t="shared" si="15"/>
        <v>7.3997281674819462E-2</v>
      </c>
      <c r="O28" s="11"/>
      <c r="P28" s="6">
        <v>1020.48</v>
      </c>
      <c r="Q28" s="2"/>
      <c r="R28" s="7">
        <f t="shared" si="16"/>
        <v>0.21625195488817406</v>
      </c>
      <c r="S28" s="2"/>
      <c r="T28" s="6">
        <v>1099.9261844999999</v>
      </c>
      <c r="U28" s="2"/>
      <c r="V28" s="7">
        <f t="shared" si="17"/>
        <v>8.5717439565149614E-2</v>
      </c>
      <c r="W28" s="2"/>
      <c r="X28" s="6">
        <f t="shared" si="18"/>
        <v>-79.446184499999845</v>
      </c>
      <c r="Y28" s="2"/>
      <c r="Z28" s="7">
        <f t="shared" si="19"/>
        <v>-7.2228650994533947E-2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8711.43</v>
      </c>
      <c r="E29" s="2"/>
      <c r="F29" s="7">
        <f t="shared" si="12"/>
        <v>1.8460565296443696</v>
      </c>
      <c r="G29" s="2"/>
      <c r="H29" s="6">
        <v>3212.6923076923099</v>
      </c>
      <c r="I29" s="2"/>
      <c r="J29" s="7">
        <f t="shared" si="13"/>
        <v>0.37809724699215136</v>
      </c>
      <c r="K29" s="2"/>
      <c r="L29" s="6">
        <f t="shared" si="14"/>
        <v>5498.7376923076899</v>
      </c>
      <c r="M29" s="2"/>
      <c r="N29" s="7">
        <f t="shared" si="15"/>
        <v>1.7115668622051938</v>
      </c>
      <c r="O29" s="11"/>
      <c r="P29" s="6">
        <v>12083.24</v>
      </c>
      <c r="Q29" s="2"/>
      <c r="R29" s="7">
        <f t="shared" si="16"/>
        <v>2.560583520875451</v>
      </c>
      <c r="S29" s="2"/>
      <c r="T29" s="6">
        <v>6882.3076923076906</v>
      </c>
      <c r="U29" s="2"/>
      <c r="V29" s="7">
        <f t="shared" si="17"/>
        <v>0.53633943986188359</v>
      </c>
      <c r="W29" s="2"/>
      <c r="X29" s="6">
        <f t="shared" si="18"/>
        <v>5200.9323076923092</v>
      </c>
      <c r="Y29" s="2"/>
      <c r="Z29" s="7">
        <f t="shared" si="19"/>
        <v>0.75569598748183786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55.9</v>
      </c>
      <c r="E30" s="2"/>
      <c r="F30" s="7">
        <f t="shared" si="12"/>
        <v>1.1845880642686706E-2</v>
      </c>
      <c r="G30" s="2"/>
      <c r="H30" s="6">
        <v>32.579507999999997</v>
      </c>
      <c r="I30" s="2"/>
      <c r="J30" s="7">
        <f t="shared" si="13"/>
        <v>3.8342365540779094E-3</v>
      </c>
      <c r="K30" s="2"/>
      <c r="L30" s="6">
        <f t="shared" si="14"/>
        <v>23.320492000000002</v>
      </c>
      <c r="M30" s="2"/>
      <c r="N30" s="7">
        <f t="shared" si="15"/>
        <v>0.71580246085975285</v>
      </c>
      <c r="O30" s="11"/>
      <c r="P30" s="6">
        <v>103.66</v>
      </c>
      <c r="Q30" s="2"/>
      <c r="R30" s="7">
        <f t="shared" si="16"/>
        <v>2.1966797628280927E-2</v>
      </c>
      <c r="S30" s="2"/>
      <c r="T30" s="6">
        <v>66.662193000000002</v>
      </c>
      <c r="U30" s="2"/>
      <c r="V30" s="7">
        <f t="shared" si="17"/>
        <v>5.1949963372817957E-3</v>
      </c>
      <c r="W30" s="2"/>
      <c r="X30" s="6">
        <f t="shared" si="18"/>
        <v>36.997806999999995</v>
      </c>
      <c r="Y30" s="2"/>
      <c r="Z30" s="7">
        <f t="shared" si="19"/>
        <v>0.55500434856681047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1527.3</v>
      </c>
      <c r="E31" s="2"/>
      <c r="F31" s="7">
        <f t="shared" si="12"/>
        <v>0.32365319330188563</v>
      </c>
      <c r="G31" s="2"/>
      <c r="H31" s="6">
        <v>434.17788000000002</v>
      </c>
      <c r="I31" s="2"/>
      <c r="J31" s="7">
        <f t="shared" si="13"/>
        <v>5.1097785100623752E-2</v>
      </c>
      <c r="K31" s="2"/>
      <c r="L31" s="6">
        <f t="shared" si="14"/>
        <v>1093.12212</v>
      </c>
      <c r="M31" s="2"/>
      <c r="N31" s="7">
        <f t="shared" si="15"/>
        <v>2.5176826603879499</v>
      </c>
      <c r="O31" s="11"/>
      <c r="P31" s="6">
        <v>2612.5500000000002</v>
      </c>
      <c r="Q31" s="2"/>
      <c r="R31" s="7">
        <f t="shared" si="16"/>
        <v>0.5536306882477845</v>
      </c>
      <c r="S31" s="2"/>
      <c r="T31" s="6">
        <v>976.90022999999997</v>
      </c>
      <c r="U31" s="2"/>
      <c r="V31" s="7">
        <f t="shared" si="17"/>
        <v>7.6130005455112212E-2</v>
      </c>
      <c r="W31" s="2"/>
      <c r="X31" s="6">
        <f t="shared" si="18"/>
        <v>1635.6497700000002</v>
      </c>
      <c r="Y31" s="2"/>
      <c r="Z31" s="7">
        <f t="shared" si="19"/>
        <v>1.6743263229654479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1539.3</v>
      </c>
      <c r="E33" s="2"/>
      <c r="F33" s="7">
        <f t="shared" si="12"/>
        <v>0.3261961372681153</v>
      </c>
      <c r="G33" s="2"/>
      <c r="H33" s="6">
        <v>417.22899999999998</v>
      </c>
      <c r="I33" s="2"/>
      <c r="J33" s="7">
        <f t="shared" si="13"/>
        <v>4.9103095210074145E-2</v>
      </c>
      <c r="K33" s="2"/>
      <c r="L33" s="6">
        <f t="shared" si="14"/>
        <v>1122.0709999999999</v>
      </c>
      <c r="M33" s="2"/>
      <c r="N33" s="7">
        <f t="shared" si="15"/>
        <v>2.6893408655678295</v>
      </c>
      <c r="O33" s="11"/>
      <c r="P33" s="6">
        <v>2454.41</v>
      </c>
      <c r="Q33" s="2"/>
      <c r="R33" s="7">
        <f t="shared" si="16"/>
        <v>0.52011892501282064</v>
      </c>
      <c r="S33" s="2"/>
      <c r="T33" s="6">
        <v>938.76525000000004</v>
      </c>
      <c r="U33" s="2"/>
      <c r="V33" s="7">
        <f t="shared" si="17"/>
        <v>7.3158139806733163E-2</v>
      </c>
      <c r="W33" s="2"/>
      <c r="X33" s="6">
        <f t="shared" si="18"/>
        <v>1515.6447499999999</v>
      </c>
      <c r="Y33" s="2"/>
      <c r="Z33" s="7">
        <f t="shared" si="19"/>
        <v>1.6145087922672892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986.74</v>
      </c>
      <c r="E34" s="2"/>
      <c r="F34" s="7">
        <f t="shared" si="12"/>
        <v>0.20910204410312488</v>
      </c>
      <c r="G34" s="2"/>
      <c r="H34" s="6">
        <v>542.80899999999997</v>
      </c>
      <c r="I34" s="2"/>
      <c r="J34" s="7">
        <f t="shared" si="13"/>
        <v>6.3882429092620915E-2</v>
      </c>
      <c r="K34" s="2"/>
      <c r="L34" s="6">
        <f t="shared" si="14"/>
        <v>443.93100000000004</v>
      </c>
      <c r="M34" s="2"/>
      <c r="N34" s="7">
        <f t="shared" si="15"/>
        <v>0.81784016108797031</v>
      </c>
      <c r="O34" s="11"/>
      <c r="P34" s="6">
        <v>1596.54</v>
      </c>
      <c r="Q34" s="2"/>
      <c r="R34" s="7">
        <f t="shared" si="16"/>
        <v>0.33832597998703101</v>
      </c>
      <c r="S34" s="2"/>
      <c r="T34" s="6">
        <v>1144.68525</v>
      </c>
      <c r="U34" s="2"/>
      <c r="V34" s="7">
        <f t="shared" si="17"/>
        <v>8.9205521352867828E-2</v>
      </c>
      <c r="W34" s="2"/>
      <c r="X34" s="6">
        <f t="shared" si="18"/>
        <v>451.85474999999997</v>
      </c>
      <c r="Y34" s="2"/>
      <c r="Z34" s="7">
        <f t="shared" si="19"/>
        <v>0.39474148024533379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646.41</v>
      </c>
      <c r="E35" s="2"/>
      <c r="F35" s="7">
        <f t="shared" si="12"/>
        <v>0.13698203410087859</v>
      </c>
      <c r="G35" s="2"/>
      <c r="H35" s="6"/>
      <c r="I35" s="2"/>
      <c r="J35" s="7">
        <f t="shared" si="13"/>
        <v>0</v>
      </c>
      <c r="K35" s="2"/>
      <c r="L35" s="6">
        <f t="shared" si="14"/>
        <v>646.41</v>
      </c>
      <c r="M35" s="2"/>
      <c r="N35" s="7">
        <f t="shared" si="15"/>
        <v>0</v>
      </c>
      <c r="O35" s="11"/>
      <c r="P35" s="6">
        <v>918.16</v>
      </c>
      <c r="Q35" s="2"/>
      <c r="R35" s="7">
        <f t="shared" si="16"/>
        <v>0.19456911933612211</v>
      </c>
      <c r="S35" s="2"/>
      <c r="T35" s="6"/>
      <c r="U35" s="2"/>
      <c r="V35" s="7">
        <f t="shared" si="17"/>
        <v>0</v>
      </c>
      <c r="W35" s="2"/>
      <c r="X35" s="6">
        <f t="shared" si="18"/>
        <v>918.16</v>
      </c>
      <c r="Y35" s="2"/>
      <c r="Z35" s="7">
        <f t="shared" si="19"/>
        <v>0</v>
      </c>
    </row>
    <row r="36" spans="1:26" s="29" customFormat="1" outlineLevel="1" collapsed="1" x14ac:dyDescent="0.25">
      <c r="A36" s="28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19671.969999999998</v>
      </c>
      <c r="E36" s="1"/>
      <c r="F36" s="5">
        <f t="shared" ref="F36:F46" si="20">IF(D$12=0,0,D36/D$12)</f>
        <v>4.168726451279313</v>
      </c>
      <c r="G36" s="1"/>
      <c r="H36" s="1">
        <f>SUM(OSRRefH22_1x_0)</f>
        <v>11570.541999999999</v>
      </c>
      <c r="I36" s="1"/>
      <c r="J36" s="5">
        <f t="shared" ref="J36:J46" si="21">IF(H$12=0,0,H36/H$12)</f>
        <v>1.3617208426503471</v>
      </c>
      <c r="K36" s="1"/>
      <c r="L36" s="1">
        <f t="shared" ref="L36:L46" si="22">+D36-H36</f>
        <v>8101.4279999999981</v>
      </c>
      <c r="M36" s="1"/>
      <c r="N36" s="5">
        <f t="shared" ref="N36:N46" si="23">IF(H36=0,0,L36/H36)</f>
        <v>0.70017705307149813</v>
      </c>
      <c r="O36" s="14"/>
      <c r="P36" s="1">
        <f>SUM(OSRRefP22_1x_0)</f>
        <v>37022.879999999997</v>
      </c>
      <c r="Q36" s="1"/>
      <c r="R36" s="5">
        <f t="shared" ref="R36:R46" si="24">IF(P$12=0,0,P36/P$12)</f>
        <v>7.8455924423705321</v>
      </c>
      <c r="S36" s="1"/>
      <c r="T36" s="1">
        <f>SUM(OSRRefT22_1x_0)</f>
        <v>23555.854500000001</v>
      </c>
      <c r="U36" s="1"/>
      <c r="V36" s="5">
        <f t="shared" ref="V36:V46" si="25">IF(T$12=0,0,T36/T$12)</f>
        <v>1.8357118531795513</v>
      </c>
      <c r="W36" s="1"/>
      <c r="X36" s="1">
        <f t="shared" ref="X36:X46" si="26">+P36-T36</f>
        <v>13467.025499999996</v>
      </c>
      <c r="Y36" s="1"/>
      <c r="Z36" s="5">
        <f t="shared" ref="Z36:Z46" si="27">IF(T36=0,0,X36/T36)</f>
        <v>0.5717060911545363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14643.4</v>
      </c>
      <c r="E38" s="2"/>
      <c r="F38" s="7">
        <f t="shared" si="20"/>
        <v>3.1031121395906709</v>
      </c>
      <c r="G38" s="2"/>
      <c r="H38" s="6">
        <v>4543.7219999999998</v>
      </c>
      <c r="I38" s="2"/>
      <c r="J38" s="7">
        <f t="shared" si="21"/>
        <v>0.53474426268094621</v>
      </c>
      <c r="K38" s="2"/>
      <c r="L38" s="6">
        <f t="shared" si="22"/>
        <v>10099.678</v>
      </c>
      <c r="M38" s="2"/>
      <c r="N38" s="7">
        <f t="shared" si="23"/>
        <v>2.2227763934501277</v>
      </c>
      <c r="O38" s="11"/>
      <c r="P38" s="6">
        <v>27872.58</v>
      </c>
      <c r="Q38" s="2"/>
      <c r="R38" s="7">
        <f t="shared" si="24"/>
        <v>5.9065340945212279</v>
      </c>
      <c r="S38" s="2"/>
      <c r="T38" s="6">
        <v>10223.3745</v>
      </c>
      <c r="U38" s="2"/>
      <c r="V38" s="7">
        <f t="shared" si="25"/>
        <v>0.79670935941396503</v>
      </c>
      <c r="W38" s="2"/>
      <c r="X38" s="6">
        <f t="shared" si="26"/>
        <v>17649.205500000004</v>
      </c>
      <c r="Y38" s="2"/>
      <c r="Z38" s="7">
        <f t="shared" si="27"/>
        <v>1.7263581119913003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4818.47</v>
      </c>
      <c r="E40" s="2"/>
      <c r="F40" s="7">
        <f t="shared" si="20"/>
        <v>1.0210916010799036</v>
      </c>
      <c r="G40" s="2"/>
      <c r="H40" s="6">
        <v>2966.4</v>
      </c>
      <c r="I40" s="2"/>
      <c r="J40" s="7">
        <f t="shared" si="21"/>
        <v>0.34911145110038838</v>
      </c>
      <c r="K40" s="2"/>
      <c r="L40" s="6">
        <f t="shared" si="22"/>
        <v>1852.0700000000002</v>
      </c>
      <c r="M40" s="2"/>
      <c r="N40" s="7">
        <f t="shared" si="23"/>
        <v>0.62434937971952542</v>
      </c>
      <c r="O40" s="11"/>
      <c r="P40" s="6">
        <v>7590.2</v>
      </c>
      <c r="Q40" s="2"/>
      <c r="R40" s="7">
        <f t="shared" si="24"/>
        <v>1.608454441039725</v>
      </c>
      <c r="S40" s="2"/>
      <c r="T40" s="6">
        <v>6674.4</v>
      </c>
      <c r="U40" s="2"/>
      <c r="V40" s="7">
        <f t="shared" si="25"/>
        <v>0.52013715710723185</v>
      </c>
      <c r="W40" s="2"/>
      <c r="X40" s="6">
        <f t="shared" si="26"/>
        <v>915.80000000000018</v>
      </c>
      <c r="Y40" s="2"/>
      <c r="Z40" s="7">
        <f t="shared" si="27"/>
        <v>0.13721083543090018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155.1</v>
      </c>
      <c r="E41" s="2"/>
      <c r="F41" s="7">
        <f t="shared" si="20"/>
        <v>3.2867550763518924E-2</v>
      </c>
      <c r="G41" s="2"/>
      <c r="H41" s="6">
        <v>2042.82</v>
      </c>
      <c r="I41" s="2"/>
      <c r="J41" s="7">
        <f t="shared" si="21"/>
        <v>0.24041661762975167</v>
      </c>
      <c r="K41" s="2"/>
      <c r="L41" s="6">
        <f t="shared" si="22"/>
        <v>-1887.72</v>
      </c>
      <c r="M41" s="2"/>
      <c r="N41" s="7">
        <f t="shared" si="23"/>
        <v>-0.92407554263224367</v>
      </c>
      <c r="O41" s="11"/>
      <c r="P41" s="6">
        <v>155.1</v>
      </c>
      <c r="Q41" s="2"/>
      <c r="R41" s="7">
        <f t="shared" si="24"/>
        <v>3.2867550763518924E-2</v>
      </c>
      <c r="S41" s="2"/>
      <c r="T41" s="6">
        <v>3707.34</v>
      </c>
      <c r="U41" s="2"/>
      <c r="V41" s="7">
        <f t="shared" si="25"/>
        <v>0.28891365336658353</v>
      </c>
      <c r="W41" s="2"/>
      <c r="X41" s="6">
        <f t="shared" si="26"/>
        <v>-3552.2400000000002</v>
      </c>
      <c r="Y41" s="2"/>
      <c r="Z41" s="7">
        <f t="shared" si="27"/>
        <v>-0.95816407451164454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55</v>
      </c>
      <c r="E43" s="2"/>
      <c r="F43" s="7">
        <f t="shared" si="20"/>
        <v>1.1655159845219478E-2</v>
      </c>
      <c r="G43" s="2"/>
      <c r="H43" s="6">
        <v>1513.2</v>
      </c>
      <c r="I43" s="2"/>
      <c r="J43" s="7">
        <f t="shared" si="21"/>
        <v>0.17808638342944569</v>
      </c>
      <c r="K43" s="2"/>
      <c r="L43" s="6">
        <f t="shared" si="22"/>
        <v>-1458.2</v>
      </c>
      <c r="M43" s="2"/>
      <c r="N43" s="7">
        <f t="shared" si="23"/>
        <v>-0.96365318530266986</v>
      </c>
      <c r="O43" s="11"/>
      <c r="P43" s="6">
        <v>1405</v>
      </c>
      <c r="Q43" s="2"/>
      <c r="R43" s="7">
        <f t="shared" si="24"/>
        <v>0.29773635604606119</v>
      </c>
      <c r="S43" s="2"/>
      <c r="T43" s="6">
        <v>2446.34</v>
      </c>
      <c r="U43" s="2"/>
      <c r="V43" s="7">
        <f t="shared" si="25"/>
        <v>0.19064370324189528</v>
      </c>
      <c r="W43" s="2"/>
      <c r="X43" s="6">
        <f t="shared" si="26"/>
        <v>-1041.3400000000001</v>
      </c>
      <c r="Y43" s="2"/>
      <c r="Z43" s="7">
        <f t="shared" si="27"/>
        <v>-0.42567263749110917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504.4</v>
      </c>
      <c r="I44" s="2"/>
      <c r="J44" s="7">
        <f t="shared" si="21"/>
        <v>5.9362127809815229E-2</v>
      </c>
      <c r="K44" s="2"/>
      <c r="L44" s="6">
        <f t="shared" si="22"/>
        <v>-504.4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504.4</v>
      </c>
      <c r="U44" s="2"/>
      <c r="V44" s="7">
        <f t="shared" si="25"/>
        <v>3.9307980049875312E-2</v>
      </c>
      <c r="W44" s="2"/>
      <c r="X44" s="6">
        <f t="shared" si="26"/>
        <v>-504.4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9" customFormat="1" outlineLevel="1" collapsed="1" x14ac:dyDescent="0.25">
      <c r="A47" s="28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0</v>
      </c>
      <c r="E47" s="1"/>
      <c r="F47" s="5">
        <f t="shared" ref="F47:F55" si="28">IF(D$12=0,0,D47/D$12)</f>
        <v>0</v>
      </c>
      <c r="G47" s="1"/>
      <c r="H47" s="1">
        <f>SUM(OSRRefH22_2x_0)</f>
        <v>360</v>
      </c>
      <c r="I47" s="1"/>
      <c r="J47" s="5">
        <f t="shared" ref="J47:J55" si="29">IF(H$12=0,0,H47/H$12)</f>
        <v>4.2367894551018005E-2</v>
      </c>
      <c r="K47" s="1"/>
      <c r="L47" s="1">
        <f t="shared" ref="L47:L55" si="30">+D47-H47</f>
        <v>-360</v>
      </c>
      <c r="M47" s="1"/>
      <c r="N47" s="5">
        <f t="shared" ref="N47:N55" si="31">IF(H47=0,0,L47/H47)</f>
        <v>-1</v>
      </c>
      <c r="O47" s="14"/>
      <c r="P47" s="1">
        <f>SUM(OSRRefP22_2x_0)</f>
        <v>45.97</v>
      </c>
      <c r="Q47" s="1"/>
      <c r="R47" s="5">
        <f t="shared" ref="R47:R55" si="32">IF(P$12=0,0,P47/P$12)</f>
        <v>9.7415945106316248E-3</v>
      </c>
      <c r="S47" s="1"/>
      <c r="T47" s="1">
        <f>SUM(OSRRefT22_2x_0)</f>
        <v>1900</v>
      </c>
      <c r="U47" s="1"/>
      <c r="V47" s="5">
        <f t="shared" ref="V47:V55" si="33">IF(T$12=0,0,T47/T$12)</f>
        <v>0.14806733167082295</v>
      </c>
      <c r="W47" s="1"/>
      <c r="X47" s="1">
        <f t="shared" ref="X47:X55" si="34">+P47-T47</f>
        <v>-1854.03</v>
      </c>
      <c r="Y47" s="1"/>
      <c r="Z47" s="5">
        <f t="shared" ref="Z47:Z55" si="35">IF(T47=0,0,X47/T47)</f>
        <v>-0.97580526315789473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/>
      <c r="E48" s="2"/>
      <c r="F48" s="7">
        <f t="shared" si="28"/>
        <v>0</v>
      </c>
      <c r="G48" s="2"/>
      <c r="H48" s="6">
        <v>360</v>
      </c>
      <c r="I48" s="2"/>
      <c r="J48" s="7">
        <f t="shared" si="29"/>
        <v>4.2367894551018005E-2</v>
      </c>
      <c r="K48" s="2"/>
      <c r="L48" s="6">
        <f t="shared" si="30"/>
        <v>-360</v>
      </c>
      <c r="M48" s="2"/>
      <c r="N48" s="7">
        <f t="shared" si="31"/>
        <v>-1</v>
      </c>
      <c r="O48" s="11"/>
      <c r="P48" s="6">
        <v>45.97</v>
      </c>
      <c r="Q48" s="2"/>
      <c r="R48" s="7">
        <f t="shared" si="32"/>
        <v>9.7415945106316248E-3</v>
      </c>
      <c r="S48" s="2"/>
      <c r="T48" s="6">
        <v>1900</v>
      </c>
      <c r="U48" s="2"/>
      <c r="V48" s="7">
        <f t="shared" si="33"/>
        <v>0.14806733167082295</v>
      </c>
      <c r="W48" s="2"/>
      <c r="X48" s="6">
        <f t="shared" si="34"/>
        <v>-1854.03</v>
      </c>
      <c r="Y48" s="2"/>
      <c r="Z48" s="7">
        <f t="shared" si="35"/>
        <v>-0.97580526315789473</v>
      </c>
    </row>
    <row r="49" spans="1:26" s="29" customFormat="1" outlineLevel="1" collapsed="1" x14ac:dyDescent="0.25">
      <c r="A49" s="28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-0.14000000000000001</v>
      </c>
      <c r="E49" s="1"/>
      <c r="F49" s="5">
        <f t="shared" si="28"/>
        <v>-2.9667679606013222E-5</v>
      </c>
      <c r="G49" s="1"/>
      <c r="H49" s="1">
        <f>SUM(OSRRefH22_3x_0)</f>
        <v>15</v>
      </c>
      <c r="I49" s="1"/>
      <c r="J49" s="5">
        <f t="shared" si="29"/>
        <v>1.7653289396257503E-3</v>
      </c>
      <c r="K49" s="1"/>
      <c r="L49" s="1">
        <f t="shared" si="30"/>
        <v>-15.14</v>
      </c>
      <c r="M49" s="1"/>
      <c r="N49" s="5">
        <f t="shared" si="31"/>
        <v>-1.0093333333333334</v>
      </c>
      <c r="O49" s="14"/>
      <c r="P49" s="1">
        <f>SUM(OSRRefP22_3x_0)</f>
        <v>-0.14000000000000001</v>
      </c>
      <c r="Q49" s="1"/>
      <c r="R49" s="5">
        <f t="shared" si="32"/>
        <v>-2.9667679606013222E-5</v>
      </c>
      <c r="S49" s="1"/>
      <c r="T49" s="1">
        <f>SUM(OSRRefT22_3x_0)</f>
        <v>20</v>
      </c>
      <c r="U49" s="1"/>
      <c r="V49" s="5">
        <f t="shared" si="33"/>
        <v>1.5586034912718205E-3</v>
      </c>
      <c r="W49" s="1"/>
      <c r="X49" s="1">
        <f t="shared" si="34"/>
        <v>-20.14</v>
      </c>
      <c r="Y49" s="1"/>
      <c r="Z49" s="5">
        <f t="shared" si="35"/>
        <v>-1.0070000000000001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-0.14000000000000001</v>
      </c>
      <c r="E50" s="2"/>
      <c r="F50" s="7">
        <f t="shared" si="28"/>
        <v>-2.9667679606013222E-5</v>
      </c>
      <c r="G50" s="2"/>
      <c r="H50" s="6">
        <v>15</v>
      </c>
      <c r="I50" s="2"/>
      <c r="J50" s="7">
        <f t="shared" si="29"/>
        <v>1.7653289396257503E-3</v>
      </c>
      <c r="K50" s="2"/>
      <c r="L50" s="6">
        <f t="shared" si="30"/>
        <v>-15.14</v>
      </c>
      <c r="M50" s="2"/>
      <c r="N50" s="7">
        <f t="shared" si="31"/>
        <v>-1.0093333333333334</v>
      </c>
      <c r="O50" s="11"/>
      <c r="P50" s="6">
        <v>-0.14000000000000001</v>
      </c>
      <c r="Q50" s="2"/>
      <c r="R50" s="7">
        <f t="shared" si="32"/>
        <v>-2.9667679606013222E-5</v>
      </c>
      <c r="S50" s="2"/>
      <c r="T50" s="6">
        <v>20</v>
      </c>
      <c r="U50" s="2"/>
      <c r="V50" s="7">
        <f t="shared" si="33"/>
        <v>1.5586034912718205E-3</v>
      </c>
      <c r="W50" s="2"/>
      <c r="X50" s="6">
        <f t="shared" si="34"/>
        <v>-20.14</v>
      </c>
      <c r="Y50" s="2"/>
      <c r="Z50" s="7">
        <f t="shared" si="35"/>
        <v>-1.0070000000000001</v>
      </c>
    </row>
    <row r="51" spans="1:26" s="29" customFormat="1" outlineLevel="1" collapsed="1" x14ac:dyDescent="0.25">
      <c r="A51" s="28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1.26</v>
      </c>
      <c r="E51" s="1"/>
      <c r="F51" s="5">
        <f t="shared" si="28"/>
        <v>2.6700911645411894E-4</v>
      </c>
      <c r="G51" s="1"/>
      <c r="H51" s="1">
        <f>SUM(OSRRefH22_4x_0)</f>
        <v>1616</v>
      </c>
      <c r="I51" s="1"/>
      <c r="J51" s="5">
        <f t="shared" si="29"/>
        <v>0.19018477109568083</v>
      </c>
      <c r="K51" s="1"/>
      <c r="L51" s="1">
        <f t="shared" si="30"/>
        <v>-1614.74</v>
      </c>
      <c r="M51" s="1"/>
      <c r="N51" s="5">
        <f t="shared" si="31"/>
        <v>-0.99922029702970294</v>
      </c>
      <c r="O51" s="14"/>
      <c r="P51" s="1">
        <f>SUM(OSRRefP22_4x_0)</f>
        <v>1.26</v>
      </c>
      <c r="Q51" s="1"/>
      <c r="R51" s="5">
        <f t="shared" si="32"/>
        <v>2.6700911645411894E-4</v>
      </c>
      <c r="S51" s="1"/>
      <c r="T51" s="1">
        <f>SUM(OSRRefT22_4x_0)</f>
        <v>2468</v>
      </c>
      <c r="U51" s="1"/>
      <c r="V51" s="5">
        <f t="shared" si="33"/>
        <v>0.19233167082294264</v>
      </c>
      <c r="W51" s="1"/>
      <c r="X51" s="1">
        <f t="shared" si="34"/>
        <v>-2466.7399999999998</v>
      </c>
      <c r="Y51" s="1"/>
      <c r="Z51" s="5">
        <f t="shared" si="35"/>
        <v>-0.99948946515397075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1.26</v>
      </c>
      <c r="E52" s="2"/>
      <c r="F52" s="7">
        <f t="shared" si="28"/>
        <v>2.6700911645411894E-4</v>
      </c>
      <c r="G52" s="2"/>
      <c r="H52" s="6">
        <v>1616</v>
      </c>
      <c r="I52" s="2"/>
      <c r="J52" s="7">
        <f t="shared" si="29"/>
        <v>0.19018477109568083</v>
      </c>
      <c r="K52" s="2"/>
      <c r="L52" s="6">
        <f t="shared" si="30"/>
        <v>-1614.74</v>
      </c>
      <c r="M52" s="2"/>
      <c r="N52" s="7">
        <f t="shared" si="31"/>
        <v>-0.99922029702970294</v>
      </c>
      <c r="O52" s="11"/>
      <c r="P52" s="6">
        <v>1.26</v>
      </c>
      <c r="Q52" s="2"/>
      <c r="R52" s="7">
        <f t="shared" si="32"/>
        <v>2.6700911645411894E-4</v>
      </c>
      <c r="S52" s="2"/>
      <c r="T52" s="6">
        <v>2468</v>
      </c>
      <c r="U52" s="2"/>
      <c r="V52" s="7">
        <f t="shared" si="33"/>
        <v>0.19233167082294264</v>
      </c>
      <c r="W52" s="2"/>
      <c r="X52" s="6">
        <f t="shared" si="34"/>
        <v>-2466.7399999999998</v>
      </c>
      <c r="Y52" s="2"/>
      <c r="Z52" s="7">
        <f t="shared" si="35"/>
        <v>-0.99948946515397075</v>
      </c>
    </row>
    <row r="53" spans="1:26" s="29" customFormat="1" outlineLevel="1" collapsed="1" x14ac:dyDescent="0.25">
      <c r="A53" s="28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13968.220000000001</v>
      </c>
      <c r="E53" s="1"/>
      <c r="F53" s="5">
        <f t="shared" si="28"/>
        <v>2.9600333973307569</v>
      </c>
      <c r="G53" s="1"/>
      <c r="H53" s="1">
        <f>SUM(OSRRefH22_5x_0)</f>
        <v>13687</v>
      </c>
      <c r="I53" s="1"/>
      <c r="J53" s="5">
        <f t="shared" si="29"/>
        <v>1.6108038131105096</v>
      </c>
      <c r="K53" s="1"/>
      <c r="L53" s="1">
        <f t="shared" si="30"/>
        <v>281.22000000000116</v>
      </c>
      <c r="M53" s="1"/>
      <c r="N53" s="5">
        <f t="shared" si="31"/>
        <v>2.0546503981880702E-2</v>
      </c>
      <c r="O53" s="14"/>
      <c r="P53" s="1">
        <f>SUM(OSRRefP22_5x_0)</f>
        <v>27655.18</v>
      </c>
      <c r="Q53" s="1"/>
      <c r="R53" s="5">
        <f t="shared" si="32"/>
        <v>5.8604644263330332</v>
      </c>
      <c r="S53" s="1"/>
      <c r="T53" s="1">
        <f>SUM(OSRRefT22_5x_0)</f>
        <v>27374</v>
      </c>
      <c r="U53" s="1"/>
      <c r="V53" s="5">
        <f t="shared" si="33"/>
        <v>2.1332605985037407</v>
      </c>
      <c r="W53" s="1"/>
      <c r="X53" s="1">
        <f t="shared" si="34"/>
        <v>281.18000000000029</v>
      </c>
      <c r="Y53" s="1"/>
      <c r="Z53" s="5">
        <f t="shared" si="35"/>
        <v>1.0271790750347055E-2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2.2456865312972831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21194.52</v>
      </c>
      <c r="Q54" s="2"/>
      <c r="R54" s="7">
        <f t="shared" si="32"/>
        <v>4.4913730625945663</v>
      </c>
      <c r="S54" s="2"/>
      <c r="T54" s="6"/>
      <c r="U54" s="2"/>
      <c r="V54" s="7">
        <f t="shared" si="33"/>
        <v>0</v>
      </c>
      <c r="W54" s="2"/>
      <c r="X54" s="6">
        <f t="shared" si="34"/>
        <v>21194.52</v>
      </c>
      <c r="Y54" s="2"/>
      <c r="Z54" s="7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3370.96</v>
      </c>
      <c r="E55" s="2"/>
      <c r="F55" s="7">
        <f t="shared" si="28"/>
        <v>0.71434686603347364</v>
      </c>
      <c r="G55" s="2"/>
      <c r="H55" s="6">
        <v>13687</v>
      </c>
      <c r="I55" s="2"/>
      <c r="J55" s="7">
        <f t="shared" si="29"/>
        <v>1.6108038131105096</v>
      </c>
      <c r="K55" s="2"/>
      <c r="L55" s="6">
        <f t="shared" si="30"/>
        <v>-10316.040000000001</v>
      </c>
      <c r="M55" s="2"/>
      <c r="N55" s="7">
        <f t="shared" si="31"/>
        <v>-0.75371082048659321</v>
      </c>
      <c r="O55" s="11"/>
      <c r="P55" s="6">
        <v>6460.66</v>
      </c>
      <c r="Q55" s="2"/>
      <c r="R55" s="7">
        <f t="shared" si="32"/>
        <v>1.3690913637384667</v>
      </c>
      <c r="S55" s="2"/>
      <c r="T55" s="6">
        <v>27374</v>
      </c>
      <c r="U55" s="2"/>
      <c r="V55" s="7">
        <f t="shared" si="33"/>
        <v>2.1332605985037407</v>
      </c>
      <c r="W55" s="2"/>
      <c r="X55" s="6">
        <f t="shared" si="34"/>
        <v>-20913.34</v>
      </c>
      <c r="Y55" s="2"/>
      <c r="Z55" s="7">
        <f t="shared" si="35"/>
        <v>-0.76398553371812672</v>
      </c>
    </row>
    <row r="56" spans="1:26" s="29" customFormat="1" outlineLevel="1" collapsed="1" x14ac:dyDescent="0.25">
      <c r="A56" s="28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72.540000000000006</v>
      </c>
      <c r="E56" s="1"/>
      <c r="F56" s="5">
        <f t="shared" ref="F56:F66" si="36">IF(D$12=0,0,D56/D$12)</f>
        <v>1.5372096275858563E-2</v>
      </c>
      <c r="G56" s="1"/>
      <c r="H56" s="1">
        <f>SUM(OSRRefH22_6x_0)</f>
        <v>146</v>
      </c>
      <c r="I56" s="1"/>
      <c r="J56" s="5">
        <f t="shared" ref="J56:J66" si="37">IF(H$12=0,0,H56/H$12)</f>
        <v>1.7182535012357301E-2</v>
      </c>
      <c r="K56" s="1"/>
      <c r="L56" s="1">
        <f t="shared" ref="L56:L66" si="38">+D56-H56</f>
        <v>-73.459999999999994</v>
      </c>
      <c r="M56" s="1"/>
      <c r="N56" s="5">
        <f t="shared" ref="N56:N66" si="39">IF(H56=0,0,L56/H56)</f>
        <v>-0.50315068493150683</v>
      </c>
      <c r="O56" s="14"/>
      <c r="P56" s="1">
        <f>SUM(OSRRefP22_6x_0)</f>
        <v>178.15</v>
      </c>
      <c r="Q56" s="1"/>
      <c r="R56" s="5">
        <f t="shared" ref="R56:R66" si="40">IF(P$12=0,0,P56/P$12)</f>
        <v>3.7752122298651818E-2</v>
      </c>
      <c r="S56" s="1"/>
      <c r="T56" s="1">
        <f>SUM(OSRRefT22_6x_0)</f>
        <v>292</v>
      </c>
      <c r="U56" s="1"/>
      <c r="V56" s="5">
        <f t="shared" ref="V56:V66" si="41">IF(T$12=0,0,T56/T$12)</f>
        <v>2.275561097256858E-2</v>
      </c>
      <c r="W56" s="1"/>
      <c r="X56" s="1">
        <f t="shared" ref="X56:X66" si="42">+P56-T56</f>
        <v>-113.85</v>
      </c>
      <c r="Y56" s="1"/>
      <c r="Z56" s="5">
        <f t="shared" ref="Z56:Z66" si="43">IF(T56=0,0,X56/T56)</f>
        <v>-0.38989726027397259</v>
      </c>
    </row>
    <row r="57" spans="1:26" s="24" customFormat="1" hidden="1" outlineLevel="2" x14ac:dyDescent="0.25">
      <c r="A57" s="27"/>
      <c r="B57" s="11" t="str">
        <f>CONCATENATE("          ", "6351", " - ", "EQUIPMENT RENTAL")</f>
        <v xml:space="preserve">          6351 - EQUIPMENT RENTAL</v>
      </c>
      <c r="C57" s="11"/>
      <c r="D57" s="6">
        <v>72.540000000000006</v>
      </c>
      <c r="E57" s="2"/>
      <c r="F57" s="7">
        <f t="shared" si="36"/>
        <v>1.5372096275858563E-2</v>
      </c>
      <c r="G57" s="2"/>
      <c r="H57" s="6">
        <v>146</v>
      </c>
      <c r="I57" s="2"/>
      <c r="J57" s="7">
        <f t="shared" si="37"/>
        <v>1.7182535012357301E-2</v>
      </c>
      <c r="K57" s="2"/>
      <c r="L57" s="6">
        <f t="shared" si="38"/>
        <v>-73.459999999999994</v>
      </c>
      <c r="M57" s="2"/>
      <c r="N57" s="7">
        <f t="shared" si="39"/>
        <v>-0.50315068493150683</v>
      </c>
      <c r="O57" s="11"/>
      <c r="P57" s="6">
        <v>178.15</v>
      </c>
      <c r="Q57" s="2"/>
      <c r="R57" s="7">
        <f t="shared" si="40"/>
        <v>3.7752122298651818E-2</v>
      </c>
      <c r="S57" s="2"/>
      <c r="T57" s="6">
        <v>292</v>
      </c>
      <c r="U57" s="2"/>
      <c r="V57" s="7">
        <f t="shared" si="41"/>
        <v>2.275561097256858E-2</v>
      </c>
      <c r="W57" s="2"/>
      <c r="X57" s="6">
        <f t="shared" si="42"/>
        <v>-113.85</v>
      </c>
      <c r="Y57" s="2"/>
      <c r="Z57" s="7">
        <f t="shared" si="43"/>
        <v>-0.38989726027397259</v>
      </c>
    </row>
    <row r="58" spans="1:26" s="29" customFormat="1" outlineLevel="1" collapsed="1" x14ac:dyDescent="0.25">
      <c r="A58" s="28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0</v>
      </c>
      <c r="E58" s="1"/>
      <c r="F58" s="5">
        <f t="shared" si="36"/>
        <v>0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0</v>
      </c>
      <c r="M58" s="1"/>
      <c r="N58" s="5">
        <f t="shared" si="39"/>
        <v>0</v>
      </c>
      <c r="O58" s="14"/>
      <c r="P58" s="1">
        <f>SUM(OSRRefP22_7x_0)</f>
        <v>1404.55</v>
      </c>
      <c r="Q58" s="1"/>
      <c r="R58" s="5">
        <f t="shared" si="40"/>
        <v>0.2976409956473276</v>
      </c>
      <c r="S58" s="1"/>
      <c r="T58" s="1">
        <f>SUM(OSRRefT22_7x_0)</f>
        <v>1355</v>
      </c>
      <c r="U58" s="1"/>
      <c r="V58" s="5">
        <f t="shared" si="41"/>
        <v>0.10559538653366583</v>
      </c>
      <c r="W58" s="1"/>
      <c r="X58" s="1">
        <f t="shared" si="42"/>
        <v>49.549999999999955</v>
      </c>
      <c r="Y58" s="1"/>
      <c r="Z58" s="5">
        <f t="shared" si="43"/>
        <v>3.6568265682656795E-2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36"/>
        <v>0</v>
      </c>
      <c r="G59" s="2"/>
      <c r="H59" s="6">
        <v>0</v>
      </c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1404.55</v>
      </c>
      <c r="Q59" s="2"/>
      <c r="R59" s="7">
        <f t="shared" si="40"/>
        <v>0.2976409956473276</v>
      </c>
      <c r="S59" s="2"/>
      <c r="T59" s="6">
        <v>1355</v>
      </c>
      <c r="U59" s="2"/>
      <c r="V59" s="7">
        <f t="shared" si="41"/>
        <v>0.10559538653366583</v>
      </c>
      <c r="W59" s="2"/>
      <c r="X59" s="6">
        <f t="shared" si="42"/>
        <v>49.549999999999955</v>
      </c>
      <c r="Y59" s="2"/>
      <c r="Z59" s="7">
        <f t="shared" si="43"/>
        <v>3.6568265682656795E-2</v>
      </c>
    </row>
    <row r="60" spans="1:26" s="29" customFormat="1" outlineLevel="1" collapsed="1" x14ac:dyDescent="0.25">
      <c r="A60" s="28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641.28</v>
      </c>
      <c r="E60" s="1"/>
      <c r="F60" s="5">
        <f t="shared" si="36"/>
        <v>0.1358949255553154</v>
      </c>
      <c r="G60" s="1"/>
      <c r="H60" s="1">
        <f>SUM(OSRRefH22_8x_0)</f>
        <v>705</v>
      </c>
      <c r="I60" s="1"/>
      <c r="J60" s="5">
        <f t="shared" si="37"/>
        <v>8.2970460162410262E-2</v>
      </c>
      <c r="K60" s="1"/>
      <c r="L60" s="1">
        <f t="shared" si="38"/>
        <v>-63.720000000000027</v>
      </c>
      <c r="M60" s="1"/>
      <c r="N60" s="5">
        <f t="shared" si="39"/>
        <v>-9.0382978723404298E-2</v>
      </c>
      <c r="O60" s="14"/>
      <c r="P60" s="1">
        <f>SUM(OSRRefP22_8x_0)</f>
        <v>1282.56</v>
      </c>
      <c r="Q60" s="1"/>
      <c r="R60" s="5">
        <f t="shared" si="40"/>
        <v>0.27178985111063081</v>
      </c>
      <c r="S60" s="1"/>
      <c r="T60" s="1">
        <f>SUM(OSRRefT22_8x_0)</f>
        <v>1410</v>
      </c>
      <c r="U60" s="1"/>
      <c r="V60" s="5">
        <f t="shared" si="41"/>
        <v>0.10988154613466335</v>
      </c>
      <c r="W60" s="1"/>
      <c r="X60" s="1">
        <f t="shared" si="42"/>
        <v>-127.44000000000005</v>
      </c>
      <c r="Y60" s="1"/>
      <c r="Z60" s="5">
        <f t="shared" si="43"/>
        <v>-9.0382978723404298E-2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641.28</v>
      </c>
      <c r="E61" s="2"/>
      <c r="F61" s="7">
        <f t="shared" si="36"/>
        <v>0.1358949255553154</v>
      </c>
      <c r="G61" s="2"/>
      <c r="H61" s="6">
        <v>705</v>
      </c>
      <c r="I61" s="2"/>
      <c r="J61" s="7">
        <f t="shared" si="37"/>
        <v>8.2970460162410262E-2</v>
      </c>
      <c r="K61" s="2"/>
      <c r="L61" s="6">
        <f t="shared" si="38"/>
        <v>-63.720000000000027</v>
      </c>
      <c r="M61" s="2"/>
      <c r="N61" s="7">
        <f t="shared" si="39"/>
        <v>-9.0382978723404298E-2</v>
      </c>
      <c r="O61" s="11"/>
      <c r="P61" s="6">
        <v>1282.56</v>
      </c>
      <c r="Q61" s="2"/>
      <c r="R61" s="7">
        <f t="shared" si="40"/>
        <v>0.27178985111063081</v>
      </c>
      <c r="S61" s="2"/>
      <c r="T61" s="6">
        <v>1410</v>
      </c>
      <c r="U61" s="2"/>
      <c r="V61" s="7">
        <f t="shared" si="41"/>
        <v>0.10988154613466335</v>
      </c>
      <c r="W61" s="2"/>
      <c r="X61" s="6">
        <f t="shared" si="42"/>
        <v>-127.44000000000005</v>
      </c>
      <c r="Y61" s="2"/>
      <c r="Z61" s="7">
        <f t="shared" si="43"/>
        <v>-9.0382978723404298E-2</v>
      </c>
    </row>
    <row r="62" spans="1:26" s="29" customFormat="1" outlineLevel="1" collapsed="1" x14ac:dyDescent="0.25">
      <c r="A62" s="28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7510</v>
      </c>
      <c r="E62" s="1"/>
      <c r="F62" s="5">
        <f t="shared" si="36"/>
        <v>1.5914590988654234</v>
      </c>
      <c r="G62" s="1"/>
      <c r="H62" s="1">
        <f>SUM(OSRRefH22_9x_0)</f>
        <v>7510</v>
      </c>
      <c r="I62" s="1"/>
      <c r="J62" s="5">
        <f t="shared" si="37"/>
        <v>0.88384135577262568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15020</v>
      </c>
      <c r="Q62" s="1"/>
      <c r="R62" s="5">
        <f t="shared" si="40"/>
        <v>3.1829181977308467</v>
      </c>
      <c r="S62" s="1"/>
      <c r="T62" s="1">
        <f>SUM(OSRRefT22_9x_0)</f>
        <v>15020</v>
      </c>
      <c r="U62" s="1"/>
      <c r="V62" s="5">
        <f t="shared" si="41"/>
        <v>1.1705112219451372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7"/>
      <c r="B63" s="11" t="str">
        <f>CONCATENATE("          ", "6401", " - ", "INTEREST EXPENSE")</f>
        <v xml:space="preserve">          6401 - INTEREST EXPENSE</v>
      </c>
      <c r="C63" s="11"/>
      <c r="D63" s="6">
        <v>7510</v>
      </c>
      <c r="E63" s="2"/>
      <c r="F63" s="7">
        <f t="shared" si="36"/>
        <v>1.5914590988654234</v>
      </c>
      <c r="G63" s="2"/>
      <c r="H63" s="6">
        <v>7510</v>
      </c>
      <c r="I63" s="2"/>
      <c r="J63" s="7">
        <f t="shared" si="37"/>
        <v>0.88384135577262568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15020</v>
      </c>
      <c r="Q63" s="2"/>
      <c r="R63" s="7">
        <f t="shared" si="40"/>
        <v>3.1829181977308467</v>
      </c>
      <c r="S63" s="2"/>
      <c r="T63" s="6">
        <v>15020</v>
      </c>
      <c r="U63" s="2"/>
      <c r="V63" s="7">
        <f t="shared" si="41"/>
        <v>1.1705112219451372</v>
      </c>
      <c r="W63" s="2"/>
      <c r="X63" s="6">
        <f t="shared" si="42"/>
        <v>0</v>
      </c>
      <c r="Y63" s="2"/>
      <c r="Z63" s="7">
        <f t="shared" si="43"/>
        <v>0</v>
      </c>
    </row>
    <row r="64" spans="1:26" s="29" customFormat="1" outlineLevel="1" collapsed="1" x14ac:dyDescent="0.25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2416.6</v>
      </c>
      <c r="E64" s="1"/>
      <c r="F64" s="5">
        <f t="shared" si="36"/>
        <v>0.51210653239922532</v>
      </c>
      <c r="G64" s="1"/>
      <c r="H64" s="1">
        <f>SUM(OSRRefH22_10x_0)</f>
        <v>661</v>
      </c>
      <c r="I64" s="1"/>
      <c r="J64" s="5">
        <f t="shared" si="37"/>
        <v>7.7792161939508067E-2</v>
      </c>
      <c r="K64" s="1"/>
      <c r="L64" s="1">
        <f t="shared" si="38"/>
        <v>1755.6</v>
      </c>
      <c r="M64" s="1"/>
      <c r="N64" s="5">
        <f t="shared" si="39"/>
        <v>2.6559757942511344</v>
      </c>
      <c r="O64" s="14"/>
      <c r="P64" s="1">
        <f>SUM(OSRRefP22_10x_0)</f>
        <v>6488.5</v>
      </c>
      <c r="Q64" s="1"/>
      <c r="R64" s="5">
        <f t="shared" si="40"/>
        <v>1.3749909937401197</v>
      </c>
      <c r="S64" s="1"/>
      <c r="T64" s="1">
        <f>SUM(OSRRefT22_10x_0)</f>
        <v>1498</v>
      </c>
      <c r="U64" s="1"/>
      <c r="V64" s="5">
        <f t="shared" si="41"/>
        <v>0.11673940149625935</v>
      </c>
      <c r="W64" s="1"/>
      <c r="X64" s="1">
        <f t="shared" si="42"/>
        <v>4990.5</v>
      </c>
      <c r="Y64" s="1"/>
      <c r="Z64" s="5">
        <f t="shared" si="43"/>
        <v>3.331441922563418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157.19999999999999</v>
      </c>
      <c r="E65" s="2"/>
      <c r="F65" s="7">
        <f t="shared" si="36"/>
        <v>3.3312565957609126E-2</v>
      </c>
      <c r="G65" s="2"/>
      <c r="H65" s="6"/>
      <c r="I65" s="2"/>
      <c r="J65" s="7">
        <f t="shared" si="37"/>
        <v>0</v>
      </c>
      <c r="K65" s="2"/>
      <c r="L65" s="6">
        <f t="shared" si="38"/>
        <v>157.19999999999999</v>
      </c>
      <c r="M65" s="2"/>
      <c r="N65" s="7">
        <f t="shared" si="39"/>
        <v>0</v>
      </c>
      <c r="O65" s="11"/>
      <c r="P65" s="6">
        <v>2509.7399999999998</v>
      </c>
      <c r="Q65" s="2"/>
      <c r="R65" s="7">
        <f t="shared" si="40"/>
        <v>0.53184401581711149</v>
      </c>
      <c r="S65" s="2"/>
      <c r="T65" s="6"/>
      <c r="U65" s="2"/>
      <c r="V65" s="7">
        <f t="shared" si="41"/>
        <v>0</v>
      </c>
      <c r="W65" s="2"/>
      <c r="X65" s="6">
        <f t="shared" si="42"/>
        <v>2509.7399999999998</v>
      </c>
      <c r="Y65" s="2"/>
      <c r="Z65" s="7">
        <f t="shared" si="43"/>
        <v>0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2259.4</v>
      </c>
      <c r="E66" s="2"/>
      <c r="F66" s="7">
        <f t="shared" si="36"/>
        <v>0.4787939664416162</v>
      </c>
      <c r="G66" s="2"/>
      <c r="H66" s="6">
        <v>661</v>
      </c>
      <c r="I66" s="2"/>
      <c r="J66" s="7">
        <f t="shared" si="37"/>
        <v>7.7792161939508067E-2</v>
      </c>
      <c r="K66" s="2"/>
      <c r="L66" s="6">
        <f t="shared" si="38"/>
        <v>1598.4</v>
      </c>
      <c r="M66" s="2"/>
      <c r="N66" s="7">
        <f t="shared" si="39"/>
        <v>2.4181543116490167</v>
      </c>
      <c r="O66" s="11"/>
      <c r="P66" s="6">
        <v>3978.76</v>
      </c>
      <c r="Q66" s="2"/>
      <c r="R66" s="7">
        <f t="shared" si="40"/>
        <v>0.8431469779230083</v>
      </c>
      <c r="S66" s="2"/>
      <c r="T66" s="6">
        <v>1498</v>
      </c>
      <c r="U66" s="2"/>
      <c r="V66" s="7">
        <f t="shared" si="41"/>
        <v>0.11673940149625935</v>
      </c>
      <c r="W66" s="2"/>
      <c r="X66" s="6">
        <f t="shared" si="42"/>
        <v>2480.7600000000002</v>
      </c>
      <c r="Y66" s="2"/>
      <c r="Z66" s="7">
        <f t="shared" si="43"/>
        <v>1.6560480640854474</v>
      </c>
    </row>
    <row r="67" spans="1:26" s="29" customFormat="1" outlineLevel="1" collapsed="1" x14ac:dyDescent="0.25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4789.1799999999994</v>
      </c>
      <c r="E67" s="1"/>
      <c r="F67" s="5">
        <f t="shared" ref="F67:F72" si="44">IF(D$12=0,0,D67/D$12)</f>
        <v>1.0148846986823312</v>
      </c>
      <c r="G67" s="1"/>
      <c r="H67" s="1">
        <f>SUM(OSRRefH22_11x_0)</f>
        <v>3432</v>
      </c>
      <c r="I67" s="1"/>
      <c r="J67" s="5">
        <f t="shared" ref="J67:J72" si="45">IF(H$12=0,0,H67/H$12)</f>
        <v>0.40390726138637167</v>
      </c>
      <c r="K67" s="1"/>
      <c r="L67" s="1">
        <f t="shared" ref="L67:L72" si="46">+D67-H67</f>
        <v>1357.1799999999994</v>
      </c>
      <c r="M67" s="1"/>
      <c r="N67" s="5">
        <f t="shared" ref="N67:N72" si="47">IF(H67=0,0,L67/H67)</f>
        <v>0.39544871794871778</v>
      </c>
      <c r="O67" s="14"/>
      <c r="P67" s="1">
        <f>SUM(OSRRefP22_11x_0)</f>
        <v>5789.1799999999994</v>
      </c>
      <c r="Q67" s="1"/>
      <c r="R67" s="5">
        <f t="shared" ref="R67:R72" si="48">IF(P$12=0,0,P67/P$12)</f>
        <v>1.2267966958681398</v>
      </c>
      <c r="S67" s="1"/>
      <c r="T67" s="1">
        <f>SUM(OSRRefT22_11x_0)</f>
        <v>7487</v>
      </c>
      <c r="U67" s="1"/>
      <c r="V67" s="5">
        <f t="shared" ref="V67:V72" si="49">IF(T$12=0,0,T67/T$12)</f>
        <v>0.58346321695760595</v>
      </c>
      <c r="W67" s="1"/>
      <c r="X67" s="1">
        <f t="shared" ref="X67:X72" si="50">+P67-T67</f>
        <v>-1697.8200000000006</v>
      </c>
      <c r="Y67" s="1"/>
      <c r="Z67" s="5">
        <f t="shared" ref="Z67:Z72" si="51">IF(T67=0,0,X67/T67)</f>
        <v>-0.22676906638172842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485.89</v>
      </c>
      <c r="E68" s="2"/>
      <c r="F68" s="7">
        <f t="shared" si="44"/>
        <v>0.10296592031261258</v>
      </c>
      <c r="G68" s="2"/>
      <c r="H68" s="6">
        <v>329</v>
      </c>
      <c r="I68" s="2"/>
      <c r="J68" s="7">
        <f t="shared" si="45"/>
        <v>3.8719548075791456E-2</v>
      </c>
      <c r="K68" s="2"/>
      <c r="L68" s="6">
        <f t="shared" si="46"/>
        <v>156.88999999999999</v>
      </c>
      <c r="M68" s="2"/>
      <c r="N68" s="7">
        <f t="shared" si="47"/>
        <v>0.47686930091185409</v>
      </c>
      <c r="O68" s="11"/>
      <c r="P68" s="6">
        <v>485.89</v>
      </c>
      <c r="Q68" s="2"/>
      <c r="R68" s="7">
        <f t="shared" si="48"/>
        <v>0.10296592031261258</v>
      </c>
      <c r="S68" s="2"/>
      <c r="T68" s="6">
        <v>658</v>
      </c>
      <c r="U68" s="2"/>
      <c r="V68" s="7">
        <f t="shared" si="49"/>
        <v>5.1278054862842891E-2</v>
      </c>
      <c r="W68" s="2"/>
      <c r="X68" s="6">
        <f t="shared" si="50"/>
        <v>-172.11</v>
      </c>
      <c r="Y68" s="2"/>
      <c r="Z68" s="7">
        <f t="shared" si="51"/>
        <v>-0.26156534954407296</v>
      </c>
    </row>
    <row r="69" spans="1:26" s="24" customFormat="1" hidden="1" outlineLevel="2" x14ac:dyDescent="0.25">
      <c r="A69" s="27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4"/>
        <v>0</v>
      </c>
      <c r="G69" s="2"/>
      <c r="H69" s="6">
        <v>62</v>
      </c>
      <c r="I69" s="2"/>
      <c r="J69" s="7">
        <f t="shared" si="45"/>
        <v>7.2966929504531012E-3</v>
      </c>
      <c r="K69" s="2"/>
      <c r="L69" s="6">
        <f t="shared" si="46"/>
        <v>-62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124</v>
      </c>
      <c r="U69" s="2"/>
      <c r="V69" s="7">
        <f t="shared" si="49"/>
        <v>9.6633416458852869E-3</v>
      </c>
      <c r="W69" s="2"/>
      <c r="X69" s="6">
        <f t="shared" si="50"/>
        <v>-124</v>
      </c>
      <c r="Y69" s="2"/>
      <c r="Z69" s="7">
        <f t="shared" si="51"/>
        <v>-1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6">
        <v>1000</v>
      </c>
      <c r="E70" s="2"/>
      <c r="F70" s="7">
        <f t="shared" si="44"/>
        <v>0.21191199718580869</v>
      </c>
      <c r="G70" s="2"/>
      <c r="H70" s="6"/>
      <c r="I70" s="2"/>
      <c r="J70" s="7">
        <f t="shared" si="45"/>
        <v>0</v>
      </c>
      <c r="K70" s="2"/>
      <c r="L70" s="6">
        <f t="shared" si="46"/>
        <v>1000</v>
      </c>
      <c r="M70" s="2"/>
      <c r="N70" s="7">
        <f t="shared" si="47"/>
        <v>0</v>
      </c>
      <c r="O70" s="11"/>
      <c r="P70" s="6">
        <v>2000</v>
      </c>
      <c r="Q70" s="2"/>
      <c r="R70" s="7">
        <f t="shared" si="48"/>
        <v>0.42382399437161739</v>
      </c>
      <c r="S70" s="2"/>
      <c r="T70" s="6">
        <v>623</v>
      </c>
      <c r="U70" s="2"/>
      <c r="V70" s="7">
        <f t="shared" si="49"/>
        <v>4.8550498753117205E-2</v>
      </c>
      <c r="W70" s="2"/>
      <c r="X70" s="6">
        <f t="shared" si="50"/>
        <v>1377</v>
      </c>
      <c r="Y70" s="2"/>
      <c r="Z70" s="7">
        <f t="shared" si="51"/>
        <v>2.2102728731942216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6">
        <v>3155.58</v>
      </c>
      <c r="E71" s="2"/>
      <c r="F71" s="7">
        <f t="shared" si="44"/>
        <v>0.66870526007959419</v>
      </c>
      <c r="G71" s="2"/>
      <c r="H71" s="6">
        <v>3041</v>
      </c>
      <c r="I71" s="2"/>
      <c r="J71" s="7">
        <f t="shared" si="45"/>
        <v>0.3578910203601271</v>
      </c>
      <c r="K71" s="2"/>
      <c r="L71" s="6">
        <f t="shared" si="46"/>
        <v>114.57999999999993</v>
      </c>
      <c r="M71" s="2"/>
      <c r="N71" s="7">
        <f t="shared" si="47"/>
        <v>3.7678395264715531E-2</v>
      </c>
      <c r="O71" s="11"/>
      <c r="P71" s="6">
        <v>3155.58</v>
      </c>
      <c r="Q71" s="2"/>
      <c r="R71" s="7">
        <f t="shared" si="48"/>
        <v>0.66870526007959419</v>
      </c>
      <c r="S71" s="2"/>
      <c r="T71" s="6">
        <v>6082</v>
      </c>
      <c r="U71" s="2"/>
      <c r="V71" s="7">
        <f t="shared" si="49"/>
        <v>0.47397132169576062</v>
      </c>
      <c r="W71" s="2"/>
      <c r="X71" s="6">
        <f t="shared" si="50"/>
        <v>-2926.42</v>
      </c>
      <c r="Y71" s="2"/>
      <c r="Z71" s="7">
        <f t="shared" si="51"/>
        <v>-0.48116080236764225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>
        <v>147.71</v>
      </c>
      <c r="E72" s="2"/>
      <c r="F72" s="7">
        <f t="shared" si="44"/>
        <v>3.1301521104315805E-2</v>
      </c>
      <c r="G72" s="2"/>
      <c r="H72" s="6"/>
      <c r="I72" s="2"/>
      <c r="J72" s="7">
        <f t="shared" si="45"/>
        <v>0</v>
      </c>
      <c r="K72" s="2"/>
      <c r="L72" s="6">
        <f t="shared" si="46"/>
        <v>147.71</v>
      </c>
      <c r="M72" s="2"/>
      <c r="N72" s="7">
        <f t="shared" si="47"/>
        <v>0</v>
      </c>
      <c r="O72" s="11"/>
      <c r="P72" s="6">
        <v>147.71</v>
      </c>
      <c r="Q72" s="2"/>
      <c r="R72" s="7">
        <f t="shared" si="48"/>
        <v>3.1301521104315805E-2</v>
      </c>
      <c r="S72" s="2"/>
      <c r="T72" s="6"/>
      <c r="U72" s="2"/>
      <c r="V72" s="7">
        <f t="shared" si="49"/>
        <v>0</v>
      </c>
      <c r="W72" s="2"/>
      <c r="X72" s="6">
        <f t="shared" si="50"/>
        <v>147.71</v>
      </c>
      <c r="Y72" s="2"/>
      <c r="Z72" s="7">
        <f t="shared" si="51"/>
        <v>0</v>
      </c>
    </row>
    <row r="73" spans="1:26" s="29" customFormat="1" outlineLevel="1" collapsed="1" x14ac:dyDescent="0.25">
      <c r="A73" s="28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SUM(OSRRefD22_12x_0)</f>
        <v>0</v>
      </c>
      <c r="E73" s="1"/>
      <c r="F73" s="5">
        <f t="shared" ref="F73:F82" si="52">IF(D$12=0,0,D73/D$12)</f>
        <v>0</v>
      </c>
      <c r="G73" s="1"/>
      <c r="H73" s="1">
        <f>SUM(OSRRefH22_12x_0)</f>
        <v>197</v>
      </c>
      <c r="I73" s="1"/>
      <c r="J73" s="5">
        <f t="shared" ref="J73:J82" si="53">IF(H$12=0,0,H73/H$12)</f>
        <v>2.3184653407084855E-2</v>
      </c>
      <c r="K73" s="1"/>
      <c r="L73" s="1">
        <f t="shared" ref="L73:L82" si="54">+D73-H73</f>
        <v>-197</v>
      </c>
      <c r="M73" s="1"/>
      <c r="N73" s="5">
        <f t="shared" ref="N73:N82" si="55">IF(H73=0,0,L73/H73)</f>
        <v>-1</v>
      </c>
      <c r="O73" s="14"/>
      <c r="P73" s="1">
        <f>SUM(OSRRefP22_12x_0)</f>
        <v>9.32</v>
      </c>
      <c r="Q73" s="1"/>
      <c r="R73" s="5">
        <f t="shared" ref="R73:R82" si="56">IF(P$12=0,0,P73/P$12)</f>
        <v>1.9750198137717372E-3</v>
      </c>
      <c r="S73" s="1"/>
      <c r="T73" s="1">
        <f>SUM(OSRRefT22_12x_0)</f>
        <v>394</v>
      </c>
      <c r="U73" s="1"/>
      <c r="V73" s="5">
        <f t="shared" ref="V73:V82" si="57">IF(T$12=0,0,T73/T$12)</f>
        <v>3.0704488778054862E-2</v>
      </c>
      <c r="W73" s="1"/>
      <c r="X73" s="1">
        <f t="shared" ref="X73:X82" si="58">+P73-T73</f>
        <v>-384.68</v>
      </c>
      <c r="Y73" s="1"/>
      <c r="Z73" s="5">
        <f t="shared" ref="Z73:Z82" si="59">IF(T73=0,0,X73/T73)</f>
        <v>-0.97634517766497464</v>
      </c>
    </row>
    <row r="74" spans="1:26" s="24" customFormat="1" hidden="1" outlineLevel="2" x14ac:dyDescent="0.25">
      <c r="A74" s="27"/>
      <c r="B74" s="11" t="str">
        <f>CONCATENATE("          ", "6275", " - ", "SUBSCRIPTIONS")</f>
        <v xml:space="preserve">          6275 - SUBSCRIPTIONS</v>
      </c>
      <c r="C74" s="11"/>
      <c r="D74" s="6"/>
      <c r="E74" s="2"/>
      <c r="F74" s="7">
        <f t="shared" si="52"/>
        <v>0</v>
      </c>
      <c r="G74" s="2"/>
      <c r="H74" s="6">
        <v>197</v>
      </c>
      <c r="I74" s="2"/>
      <c r="J74" s="7">
        <f t="shared" si="53"/>
        <v>2.3184653407084855E-2</v>
      </c>
      <c r="K74" s="2"/>
      <c r="L74" s="6">
        <f t="shared" si="54"/>
        <v>-197</v>
      </c>
      <c r="M74" s="2"/>
      <c r="N74" s="7">
        <f t="shared" si="55"/>
        <v>-1</v>
      </c>
      <c r="O74" s="11"/>
      <c r="P74" s="6">
        <v>9.32</v>
      </c>
      <c r="Q74" s="2"/>
      <c r="R74" s="7">
        <f t="shared" si="56"/>
        <v>1.9750198137717372E-3</v>
      </c>
      <c r="S74" s="2"/>
      <c r="T74" s="6">
        <v>394</v>
      </c>
      <c r="U74" s="2"/>
      <c r="V74" s="7">
        <f t="shared" si="57"/>
        <v>3.0704488778054862E-2</v>
      </c>
      <c r="W74" s="2"/>
      <c r="X74" s="6">
        <f t="shared" si="58"/>
        <v>-384.68</v>
      </c>
      <c r="Y74" s="2"/>
      <c r="Z74" s="7">
        <f t="shared" si="59"/>
        <v>-0.97634517766497464</v>
      </c>
    </row>
    <row r="75" spans="1:26" s="29" customFormat="1" outlineLevel="1" collapsed="1" x14ac:dyDescent="0.25">
      <c r="A75" s="28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541.92999999999995</v>
      </c>
      <c r="E75" s="1"/>
      <c r="F75" s="5">
        <f t="shared" si="52"/>
        <v>0.1148414686349053</v>
      </c>
      <c r="G75" s="1"/>
      <c r="H75" s="1">
        <f>SUM(OSRRefH22_13x_0)</f>
        <v>6444</v>
      </c>
      <c r="I75" s="1"/>
      <c r="J75" s="5">
        <f t="shared" si="53"/>
        <v>0.75838531246322227</v>
      </c>
      <c r="K75" s="1"/>
      <c r="L75" s="1">
        <f t="shared" si="54"/>
        <v>-5902.07</v>
      </c>
      <c r="M75" s="1"/>
      <c r="N75" s="5">
        <f t="shared" si="55"/>
        <v>-0.91590161390440716</v>
      </c>
      <c r="O75" s="14"/>
      <c r="P75" s="1">
        <f>SUM(OSRRefP22_13x_0)</f>
        <v>1084.3699999999999</v>
      </c>
      <c r="Q75" s="1"/>
      <c r="R75" s="5">
        <f t="shared" si="56"/>
        <v>0.22979101238837535</v>
      </c>
      <c r="S75" s="1"/>
      <c r="T75" s="1">
        <f>SUM(OSRRefT22_13x_0)</f>
        <v>7433</v>
      </c>
      <c r="U75" s="1"/>
      <c r="V75" s="5">
        <f t="shared" si="57"/>
        <v>0.57925498753117211</v>
      </c>
      <c r="W75" s="1"/>
      <c r="X75" s="1">
        <f t="shared" si="58"/>
        <v>-6348.63</v>
      </c>
      <c r="Y75" s="1"/>
      <c r="Z75" s="5">
        <f t="shared" si="59"/>
        <v>-0.8541140858334455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>
        <v>255.78</v>
      </c>
      <c r="E76" s="2"/>
      <c r="F76" s="7">
        <f t="shared" si="52"/>
        <v>5.4202850640186151E-2</v>
      </c>
      <c r="G76" s="2"/>
      <c r="H76" s="6"/>
      <c r="I76" s="2"/>
      <c r="J76" s="7">
        <f t="shared" si="53"/>
        <v>0</v>
      </c>
      <c r="K76" s="2"/>
      <c r="L76" s="6">
        <f t="shared" si="54"/>
        <v>255.78</v>
      </c>
      <c r="M76" s="2"/>
      <c r="N76" s="7">
        <f t="shared" si="55"/>
        <v>0</v>
      </c>
      <c r="O76" s="11"/>
      <c r="P76" s="6">
        <v>255.78</v>
      </c>
      <c r="Q76" s="2"/>
      <c r="R76" s="7">
        <f t="shared" si="56"/>
        <v>5.4202850640186151E-2</v>
      </c>
      <c r="S76" s="2"/>
      <c r="T76" s="6"/>
      <c r="U76" s="2"/>
      <c r="V76" s="7">
        <f t="shared" si="57"/>
        <v>0</v>
      </c>
      <c r="W76" s="2"/>
      <c r="X76" s="6">
        <f t="shared" si="58"/>
        <v>255.78</v>
      </c>
      <c r="Y76" s="2"/>
      <c r="Z76" s="7">
        <f t="shared" si="59"/>
        <v>0</v>
      </c>
    </row>
    <row r="77" spans="1:26" s="24" customFormat="1" hidden="1" outlineLevel="2" x14ac:dyDescent="0.25">
      <c r="A77" s="27"/>
      <c r="B77" s="11" t="str">
        <f>CONCATENATE("          ", "6235", " - ", "COVID-19 EXPENSES")</f>
        <v xml:space="preserve">          6235 - COVID-19 EXPENSES</v>
      </c>
      <c r="C77" s="11"/>
      <c r="D77" s="6">
        <v>286.14999999999998</v>
      </c>
      <c r="E77" s="2"/>
      <c r="F77" s="7">
        <f t="shared" si="52"/>
        <v>6.0638617994719153E-2</v>
      </c>
      <c r="G77" s="2"/>
      <c r="H77" s="6"/>
      <c r="I77" s="2"/>
      <c r="J77" s="7">
        <f t="shared" si="53"/>
        <v>0</v>
      </c>
      <c r="K77" s="2"/>
      <c r="L77" s="6">
        <f t="shared" si="54"/>
        <v>286.14999999999998</v>
      </c>
      <c r="M77" s="2"/>
      <c r="N77" s="7">
        <f t="shared" si="55"/>
        <v>0</v>
      </c>
      <c r="O77" s="11"/>
      <c r="P77" s="6">
        <v>821.97</v>
      </c>
      <c r="Q77" s="2"/>
      <c r="R77" s="7">
        <f t="shared" si="56"/>
        <v>0.17418530432681917</v>
      </c>
      <c r="S77" s="2"/>
      <c r="T77" s="6"/>
      <c r="U77" s="2"/>
      <c r="V77" s="7">
        <f t="shared" si="57"/>
        <v>0</v>
      </c>
      <c r="W77" s="2"/>
      <c r="X77" s="6">
        <f t="shared" si="58"/>
        <v>821.97</v>
      </c>
      <c r="Y77" s="2"/>
      <c r="Z77" s="7">
        <f t="shared" si="59"/>
        <v>0</v>
      </c>
    </row>
    <row r="78" spans="1:26" s="24" customFormat="1" hidden="1" outlineLevel="2" x14ac:dyDescent="0.25">
      <c r="A78" s="27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52"/>
        <v>0</v>
      </c>
      <c r="G78" s="2"/>
      <c r="H78" s="6">
        <v>719</v>
      </c>
      <c r="I78" s="2"/>
      <c r="J78" s="7">
        <f t="shared" si="53"/>
        <v>8.4618100506060959E-2</v>
      </c>
      <c r="K78" s="2"/>
      <c r="L78" s="6">
        <f t="shared" si="54"/>
        <v>-719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1242</v>
      </c>
      <c r="U78" s="2"/>
      <c r="V78" s="7">
        <f t="shared" si="57"/>
        <v>9.6789276807980051E-2</v>
      </c>
      <c r="W78" s="2"/>
      <c r="X78" s="6">
        <f t="shared" si="58"/>
        <v>-1242</v>
      </c>
      <c r="Y78" s="2"/>
      <c r="Z78" s="7">
        <f t="shared" si="59"/>
        <v>-1</v>
      </c>
    </row>
    <row r="79" spans="1:26" s="24" customFormat="1" hidden="1" outlineLevel="2" x14ac:dyDescent="0.25">
      <c r="A79" s="27"/>
      <c r="B79" s="11" t="str">
        <f>CONCATENATE("          ", "6239", " - ", "KITCHEN SUPPLIES")</f>
        <v xml:space="preserve">          6239 - KITCHEN SUPPLIES</v>
      </c>
      <c r="C79" s="11"/>
      <c r="D79" s="6"/>
      <c r="E79" s="2"/>
      <c r="F79" s="7">
        <f t="shared" si="52"/>
        <v>0</v>
      </c>
      <c r="G79" s="2"/>
      <c r="H79" s="6">
        <v>73</v>
      </c>
      <c r="I79" s="2"/>
      <c r="J79" s="7">
        <f t="shared" si="53"/>
        <v>8.5912675061786507E-3</v>
      </c>
      <c r="K79" s="2"/>
      <c r="L79" s="6">
        <f t="shared" si="54"/>
        <v>-73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136</v>
      </c>
      <c r="U79" s="2"/>
      <c r="V79" s="7">
        <f t="shared" si="57"/>
        <v>1.059850374064838E-2</v>
      </c>
      <c r="W79" s="2"/>
      <c r="X79" s="6">
        <f t="shared" si="58"/>
        <v>-136</v>
      </c>
      <c r="Y79" s="2"/>
      <c r="Z79" s="7">
        <f t="shared" si="59"/>
        <v>-1</v>
      </c>
    </row>
    <row r="80" spans="1:26" s="24" customFormat="1" hidden="1" outlineLevel="2" x14ac:dyDescent="0.25">
      <c r="A80" s="27"/>
      <c r="B80" s="11" t="str">
        <f>CONCATENATE("          ", "6241", " - ", "OFFICE EXPENSE")</f>
        <v xml:space="preserve">          6241 - OFFICE EXPENSE</v>
      </c>
      <c r="C80" s="11"/>
      <c r="D80" s="6"/>
      <c r="E80" s="2"/>
      <c r="F80" s="7">
        <f t="shared" si="52"/>
        <v>0</v>
      </c>
      <c r="G80" s="2"/>
      <c r="H80" s="6">
        <v>4740</v>
      </c>
      <c r="I80" s="2"/>
      <c r="J80" s="7">
        <f t="shared" si="53"/>
        <v>0.55784394492173706</v>
      </c>
      <c r="K80" s="2"/>
      <c r="L80" s="6">
        <f t="shared" si="54"/>
        <v>-4740</v>
      </c>
      <c r="M80" s="2"/>
      <c r="N80" s="7">
        <f t="shared" si="55"/>
        <v>-1</v>
      </c>
      <c r="O80" s="11"/>
      <c r="P80" s="6">
        <v>6.62</v>
      </c>
      <c r="Q80" s="2"/>
      <c r="R80" s="7">
        <f t="shared" si="56"/>
        <v>1.4028574213700536E-3</v>
      </c>
      <c r="S80" s="2"/>
      <c r="T80" s="6">
        <v>4784</v>
      </c>
      <c r="U80" s="2"/>
      <c r="V80" s="7">
        <f t="shared" si="57"/>
        <v>0.37281795511221943</v>
      </c>
      <c r="W80" s="2"/>
      <c r="X80" s="6">
        <f t="shared" si="58"/>
        <v>-4777.38</v>
      </c>
      <c r="Y80" s="2"/>
      <c r="Z80" s="7">
        <f t="shared" si="59"/>
        <v>-0.99861622073578593</v>
      </c>
    </row>
    <row r="81" spans="1:26" s="24" customFormat="1" hidden="1" outlineLevel="2" x14ac:dyDescent="0.25">
      <c r="A81" s="27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2"/>
        <v>0</v>
      </c>
      <c r="G81" s="2"/>
      <c r="H81" s="6">
        <v>501</v>
      </c>
      <c r="I81" s="2"/>
      <c r="J81" s="7">
        <f t="shared" si="53"/>
        <v>5.8961986583500062E-2</v>
      </c>
      <c r="K81" s="2"/>
      <c r="L81" s="6">
        <f t="shared" si="54"/>
        <v>-501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860</v>
      </c>
      <c r="U81" s="2"/>
      <c r="V81" s="7">
        <f t="shared" si="57"/>
        <v>6.7019950124688282E-2</v>
      </c>
      <c r="W81" s="2"/>
      <c r="X81" s="6">
        <f t="shared" si="58"/>
        <v>-860</v>
      </c>
      <c r="Y81" s="2"/>
      <c r="Z81" s="7">
        <f t="shared" si="59"/>
        <v>-1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52"/>
        <v>0</v>
      </c>
      <c r="G82" s="2"/>
      <c r="H82" s="6">
        <v>411</v>
      </c>
      <c r="I82" s="2"/>
      <c r="J82" s="7">
        <f t="shared" si="53"/>
        <v>4.8370012945745555E-2</v>
      </c>
      <c r="K82" s="2"/>
      <c r="L82" s="6">
        <f t="shared" si="54"/>
        <v>-411</v>
      </c>
      <c r="M82" s="2"/>
      <c r="N82" s="7">
        <f t="shared" si="55"/>
        <v>-1</v>
      </c>
      <c r="O82" s="11"/>
      <c r="P82" s="6"/>
      <c r="Q82" s="2"/>
      <c r="R82" s="7">
        <f t="shared" si="56"/>
        <v>0</v>
      </c>
      <c r="S82" s="2"/>
      <c r="T82" s="6">
        <v>411</v>
      </c>
      <c r="U82" s="2"/>
      <c r="V82" s="7">
        <f t="shared" si="57"/>
        <v>3.202930174563591E-2</v>
      </c>
      <c r="W82" s="2"/>
      <c r="X82" s="6">
        <f t="shared" si="58"/>
        <v>-411</v>
      </c>
      <c r="Y82" s="2"/>
      <c r="Z82" s="7">
        <f t="shared" si="59"/>
        <v>-1</v>
      </c>
    </row>
    <row r="83" spans="1:26" s="29" customFormat="1" outlineLevel="1" collapsed="1" x14ac:dyDescent="0.25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232</v>
      </c>
      <c r="E83" s="1"/>
      <c r="F83" s="5">
        <f t="shared" ref="F83:F85" si="60">IF(D$12=0,0,D83/D$12)</f>
        <v>4.9163583347107617E-2</v>
      </c>
      <c r="G83" s="1"/>
      <c r="H83" s="1">
        <f>SUM(OSRRefH22_14x_0)</f>
        <v>150</v>
      </c>
      <c r="I83" s="1"/>
      <c r="J83" s="5">
        <f t="shared" ref="J83:J85" si="61">IF(H$12=0,0,H83/H$12)</f>
        <v>1.7653289396257502E-2</v>
      </c>
      <c r="K83" s="1"/>
      <c r="L83" s="1">
        <f t="shared" ref="L83:L85" si="62">+D83-H83</f>
        <v>82</v>
      </c>
      <c r="M83" s="1"/>
      <c r="N83" s="5">
        <f t="shared" ref="N83:N85" si="63">IF(H83=0,0,L83/H83)</f>
        <v>0.54666666666666663</v>
      </c>
      <c r="O83" s="14"/>
      <c r="P83" s="1">
        <f>SUM(OSRRefP22_14x_0)</f>
        <v>464</v>
      </c>
      <c r="Q83" s="1"/>
      <c r="R83" s="5">
        <f t="shared" ref="R83:R85" si="64">IF(P$12=0,0,P83/P$12)</f>
        <v>9.8327166694215234E-2</v>
      </c>
      <c r="S83" s="1"/>
      <c r="T83" s="1">
        <f>SUM(OSRRefT22_14x_0)</f>
        <v>392</v>
      </c>
      <c r="U83" s="1"/>
      <c r="V83" s="5">
        <f t="shared" ref="V83:V85" si="65">IF(T$12=0,0,T83/T$12)</f>
        <v>3.0548628428927679E-2</v>
      </c>
      <c r="W83" s="1"/>
      <c r="X83" s="1">
        <f t="shared" ref="X83:X85" si="66">+P83-T83</f>
        <v>72</v>
      </c>
      <c r="Y83" s="1"/>
      <c r="Z83" s="5">
        <f t="shared" ref="Z83:Z85" si="67">IF(T83=0,0,X83/T83)</f>
        <v>0.18367346938775511</v>
      </c>
    </row>
    <row r="84" spans="1:26" s="24" customFormat="1" hidden="1" outlineLevel="2" x14ac:dyDescent="0.25">
      <c r="A84" s="27"/>
      <c r="B84" s="11" t="str">
        <f>CONCATENATE("          ", "6303", " - ", "DATA PHONE LINES")</f>
        <v xml:space="preserve">          6303 - DATA PHONE LINES</v>
      </c>
      <c r="C84" s="11"/>
      <c r="D84" s="6"/>
      <c r="E84" s="2"/>
      <c r="F84" s="7">
        <f t="shared" si="60"/>
        <v>0</v>
      </c>
      <c r="G84" s="2"/>
      <c r="H84" s="6">
        <v>150</v>
      </c>
      <c r="I84" s="2"/>
      <c r="J84" s="7">
        <f t="shared" si="61"/>
        <v>1.7653289396257502E-2</v>
      </c>
      <c r="K84" s="2"/>
      <c r="L84" s="6">
        <f t="shared" si="62"/>
        <v>-150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242</v>
      </c>
      <c r="U84" s="2"/>
      <c r="V84" s="7">
        <f t="shared" si="65"/>
        <v>1.8859102244389029E-2</v>
      </c>
      <c r="W84" s="2"/>
      <c r="X84" s="6">
        <f t="shared" si="66"/>
        <v>-242</v>
      </c>
      <c r="Y84" s="2"/>
      <c r="Z84" s="7">
        <f t="shared" si="67"/>
        <v>-1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232</v>
      </c>
      <c r="E85" s="2"/>
      <c r="F85" s="7">
        <f t="shared" si="60"/>
        <v>4.9163583347107617E-2</v>
      </c>
      <c r="G85" s="2"/>
      <c r="H85" s="6"/>
      <c r="I85" s="2"/>
      <c r="J85" s="7">
        <f t="shared" si="61"/>
        <v>0</v>
      </c>
      <c r="K85" s="2"/>
      <c r="L85" s="6">
        <f t="shared" si="62"/>
        <v>232</v>
      </c>
      <c r="M85" s="2"/>
      <c r="N85" s="7">
        <f t="shared" si="63"/>
        <v>0</v>
      </c>
      <c r="O85" s="11"/>
      <c r="P85" s="6">
        <v>464</v>
      </c>
      <c r="Q85" s="2"/>
      <c r="R85" s="7">
        <f t="shared" si="64"/>
        <v>9.8327166694215234E-2</v>
      </c>
      <c r="S85" s="2"/>
      <c r="T85" s="6">
        <v>150</v>
      </c>
      <c r="U85" s="2"/>
      <c r="V85" s="7">
        <f t="shared" si="65"/>
        <v>1.1689526184538654E-2</v>
      </c>
      <c r="W85" s="2"/>
      <c r="X85" s="6">
        <f t="shared" si="66"/>
        <v>314</v>
      </c>
      <c r="Y85" s="2"/>
      <c r="Z85" s="7">
        <f t="shared" si="67"/>
        <v>2.0933333333333333</v>
      </c>
    </row>
    <row r="86" spans="1:26" s="29" customFormat="1" outlineLevel="1" collapsed="1" x14ac:dyDescent="0.25">
      <c r="A86" s="28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SUM(OSRRefD22_15x_0)</f>
        <v>2300</v>
      </c>
      <c r="E86" s="1"/>
      <c r="F86" s="5">
        <f t="shared" ref="F86:F87" si="68">IF(D$12=0,0,D86/D$12)</f>
        <v>0.48739759352736001</v>
      </c>
      <c r="G86" s="1"/>
      <c r="H86" s="1">
        <f>SUM(OSRRefH22_15x_0)</f>
        <v>2300</v>
      </c>
      <c r="I86" s="1"/>
      <c r="J86" s="5">
        <f t="shared" ref="J86:J87" si="69">IF(H$12=0,0,H86/H$12)</f>
        <v>0.27068377074261502</v>
      </c>
      <c r="K86" s="1"/>
      <c r="L86" s="1">
        <f t="shared" ref="L86:L87" si="70">+D86-H86</f>
        <v>0</v>
      </c>
      <c r="M86" s="1"/>
      <c r="N86" s="5">
        <f t="shared" ref="N86:N87" si="71">IF(H86=0,0,L86/H86)</f>
        <v>0</v>
      </c>
      <c r="O86" s="14"/>
      <c r="P86" s="1">
        <f>SUM(OSRRefP22_15x_0)</f>
        <v>4600</v>
      </c>
      <c r="Q86" s="1"/>
      <c r="R86" s="5">
        <f t="shared" ref="R86:R87" si="72">IF(P$12=0,0,P86/P$12)</f>
        <v>0.97479518705472001</v>
      </c>
      <c r="S86" s="1"/>
      <c r="T86" s="1">
        <f>SUM(OSRRefT22_15x_0)</f>
        <v>4600</v>
      </c>
      <c r="U86" s="1"/>
      <c r="V86" s="5">
        <f t="shared" ref="V86:V87" si="73">IF(T$12=0,0,T86/T$12)</f>
        <v>0.35847880299251872</v>
      </c>
      <c r="W86" s="1"/>
      <c r="X86" s="1">
        <f t="shared" ref="X86:X87" si="74">+P86-T86</f>
        <v>0</v>
      </c>
      <c r="Y86" s="1"/>
      <c r="Z86" s="5">
        <f t="shared" ref="Z86:Z87" si="75">IF(T86=0,0,X86/T86)</f>
        <v>0</v>
      </c>
    </row>
    <row r="87" spans="1:26" s="24" customFormat="1" hidden="1" outlineLevel="2" x14ac:dyDescent="0.25">
      <c r="A87" s="27"/>
      <c r="B87" s="11" t="str">
        <f>CONCATENATE("          ", "6274", " - ", "UTILITIES")</f>
        <v xml:space="preserve">          6274 - UTILITIES</v>
      </c>
      <c r="C87" s="11"/>
      <c r="D87" s="6">
        <v>2300</v>
      </c>
      <c r="E87" s="2"/>
      <c r="F87" s="7">
        <f t="shared" si="68"/>
        <v>0.48739759352736001</v>
      </c>
      <c r="G87" s="2"/>
      <c r="H87" s="6">
        <v>2300</v>
      </c>
      <c r="I87" s="2"/>
      <c r="J87" s="7">
        <f t="shared" si="69"/>
        <v>0.27068377074261502</v>
      </c>
      <c r="K87" s="2"/>
      <c r="L87" s="6">
        <f t="shared" si="70"/>
        <v>0</v>
      </c>
      <c r="M87" s="2"/>
      <c r="N87" s="7">
        <f t="shared" si="71"/>
        <v>0</v>
      </c>
      <c r="O87" s="11"/>
      <c r="P87" s="6">
        <v>4600</v>
      </c>
      <c r="Q87" s="2"/>
      <c r="R87" s="7">
        <f t="shared" si="72"/>
        <v>0.97479518705472001</v>
      </c>
      <c r="S87" s="2"/>
      <c r="T87" s="6">
        <v>4600</v>
      </c>
      <c r="U87" s="2"/>
      <c r="V87" s="7">
        <f t="shared" si="73"/>
        <v>0.35847880299251872</v>
      </c>
      <c r="W87" s="2"/>
      <c r="X87" s="6">
        <f t="shared" si="74"/>
        <v>0</v>
      </c>
      <c r="Y87" s="2"/>
      <c r="Z87" s="7">
        <f t="shared" si="75"/>
        <v>0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2" customFormat="1" x14ac:dyDescent="0.2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2" customFormat="1" x14ac:dyDescent="0.25">
      <c r="A91" s="10"/>
      <c r="B91" s="26" t="s">
        <v>3</v>
      </c>
      <c r="C91" s="26"/>
      <c r="D91" s="21">
        <f>+D23-D25+D89</f>
        <v>-67308.87</v>
      </c>
      <c r="E91" s="13"/>
      <c r="F91" s="20">
        <f>IF(D$12=0,0,D91/D$12)</f>
        <v>-14.263557070019962</v>
      </c>
      <c r="G91" s="13"/>
      <c r="H91" s="21">
        <f>+H23-H25+H89</f>
        <v>-49460.58908509231</v>
      </c>
      <c r="I91" s="13"/>
      <c r="J91" s="20">
        <f>IF(H$12=0,0,H91/H$12)</f>
        <v>-5.8209472855233972</v>
      </c>
      <c r="K91" s="16"/>
      <c r="L91" s="21">
        <f>+D91-H91</f>
        <v>-17848.280914907686</v>
      </c>
      <c r="M91" s="16"/>
      <c r="N91" s="20">
        <f>IF(H91=0,0,L91/H91)</f>
        <v>0.3608586400821347</v>
      </c>
      <c r="O91" s="25"/>
      <c r="P91" s="21">
        <f>+P23-P25+P89</f>
        <v>-123965.71</v>
      </c>
      <c r="Q91" s="13"/>
      <c r="R91" s="20">
        <f>IF(P$12=0,0,P91/P$12)</f>
        <v>-26.269821188656778</v>
      </c>
      <c r="S91" s="13"/>
      <c r="T91" s="21">
        <f>+T23-T25+T89</f>
        <v>-99374.984051457694</v>
      </c>
      <c r="U91" s="13"/>
      <c r="V91" s="20">
        <f>IF(T$12=0,0,T91/T$12)</f>
        <v>-7.7443098543841717</v>
      </c>
      <c r="W91" s="16"/>
      <c r="X91" s="21">
        <f>+P91-T91</f>
        <v>-24590.725948542313</v>
      </c>
      <c r="Y91" s="16"/>
      <c r="Z91" s="20">
        <f>IF(T91=0,0,X91/T91)</f>
        <v>0.24745388573656432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2" customFormat="1" x14ac:dyDescent="0.25">
      <c r="A93" s="52"/>
      <c r="B93" s="10" t="s">
        <v>14</v>
      </c>
      <c r="C93" s="10"/>
      <c r="D93" s="4">
        <v>796.73</v>
      </c>
      <c r="E93" s="4"/>
      <c r="F93" s="12">
        <f>IF(D$12=0,0,D93/D$12)</f>
        <v>0.16883664551784935</v>
      </c>
      <c r="G93" s="4"/>
      <c r="H93" s="4">
        <v>-10</v>
      </c>
      <c r="I93" s="4"/>
      <c r="J93" s="12">
        <f>IF(H$12=0,0,H93/H$12)</f>
        <v>-1.1768859597505001E-3</v>
      </c>
      <c r="K93" s="4"/>
      <c r="L93" s="4">
        <f>+D93-H93</f>
        <v>806.73</v>
      </c>
      <c r="M93" s="4"/>
      <c r="N93" s="12">
        <f>IF(H93=0,0,L93/H93)</f>
        <v>-80.673000000000002</v>
      </c>
      <c r="O93" s="10"/>
      <c r="P93" s="4">
        <v>796.73</v>
      </c>
      <c r="Q93" s="4"/>
      <c r="R93" s="12">
        <f>IF(P$12=0,0,P93/P$12)</f>
        <v>0.16883664551784935</v>
      </c>
      <c r="S93" s="4"/>
      <c r="T93" s="4">
        <v>2096</v>
      </c>
      <c r="U93" s="4"/>
      <c r="V93" s="12">
        <f>IF(T$12=0,0,T93/T$12)</f>
        <v>0.1633416458852868</v>
      </c>
      <c r="W93" s="4"/>
      <c r="X93" s="4">
        <f>+P93-T93</f>
        <v>-1299.27</v>
      </c>
      <c r="Y93" s="4"/>
      <c r="Z93" s="12">
        <f>IF(T93=0,0,X93/T93)</f>
        <v>-0.6198807251908397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2" customFormat="1" ht="15.75" thickBot="1" x14ac:dyDescent="0.3">
      <c r="A95" s="10"/>
      <c r="B95" s="26" t="s">
        <v>4</v>
      </c>
      <c r="C95" s="26"/>
      <c r="D95" s="33">
        <f>+D91-D93</f>
        <v>-68105.599999999991</v>
      </c>
      <c r="E95" s="13"/>
      <c r="F95" s="31">
        <f>IF(D$12=0,0,D95/D$12)</f>
        <v>-14.432393715537811</v>
      </c>
      <c r="G95" s="13"/>
      <c r="H95" s="33">
        <f>+H91-H93</f>
        <v>-49450.58908509231</v>
      </c>
      <c r="I95" s="13"/>
      <c r="J95" s="31">
        <f>IF(H$12=0,0,H95/H$12)</f>
        <v>-5.8197703995636472</v>
      </c>
      <c r="K95" s="16"/>
      <c r="L95" s="33">
        <f>D95-H95</f>
        <v>-18655.010914907682</v>
      </c>
      <c r="M95" s="16"/>
      <c r="N95" s="31">
        <f>IF(H95=0,0,L95/H95)</f>
        <v>0.37724547391755014</v>
      </c>
      <c r="O95" s="25"/>
      <c r="P95" s="33">
        <f>+P91-P93</f>
        <v>-124762.44</v>
      </c>
      <c r="Q95" s="13"/>
      <c r="R95" s="31">
        <f>IF(P$12=0,0,P95/P$12)</f>
        <v>-26.438657834174627</v>
      </c>
      <c r="S95" s="13"/>
      <c r="T95" s="33">
        <f>+T91-T93</f>
        <v>-101470.98405145769</v>
      </c>
      <c r="U95" s="13"/>
      <c r="V95" s="31">
        <f>IF(T$12=0,0,T95/T$12)</f>
        <v>-7.9076515002694583</v>
      </c>
      <c r="W95" s="16"/>
      <c r="X95" s="33">
        <f>P95-T95</f>
        <v>-23291.455948542309</v>
      </c>
      <c r="Y95" s="16"/>
      <c r="Z95" s="31">
        <f>IF(T95=0,0,X95/T95)</f>
        <v>0.22953809077805737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2" customFormat="1" ht="15.75" thickBot="1" x14ac:dyDescent="0.3">
      <c r="A98" s="10"/>
      <c r="B98" s="26" t="s">
        <v>5</v>
      </c>
      <c r="C98" s="26"/>
      <c r="D98" s="32">
        <f>SUM(D95:D97)</f>
        <v>-68105.599999999991</v>
      </c>
      <c r="E98" s="13"/>
      <c r="F98" s="35">
        <f>IF(D$12=0,0,D98/D$12)</f>
        <v>-14.432393715537811</v>
      </c>
      <c r="G98" s="13"/>
      <c r="H98" s="32">
        <f>SUM(H95:H97)</f>
        <v>-49450.58908509231</v>
      </c>
      <c r="I98" s="13"/>
      <c r="J98" s="35">
        <f>IF(H$12=0,0,H98/H$12)</f>
        <v>-5.8197703995636472</v>
      </c>
      <c r="K98" s="16"/>
      <c r="L98" s="32">
        <f>+D98-H98</f>
        <v>-18655.010914907682</v>
      </c>
      <c r="M98" s="16"/>
      <c r="N98" s="35">
        <f>IF(H98=0,0,L98/H98)</f>
        <v>0.37724547391755014</v>
      </c>
      <c r="O98" s="25"/>
      <c r="P98" s="32">
        <f>SUM(P95:P97)</f>
        <v>-124762.44</v>
      </c>
      <c r="Q98" s="13"/>
      <c r="R98" s="35">
        <f>IF(P$12=0,0,P98/P$12)</f>
        <v>-26.438657834174627</v>
      </c>
      <c r="S98" s="13"/>
      <c r="T98" s="32">
        <f>SUM(T95:T97)</f>
        <v>-101470.98405145769</v>
      </c>
      <c r="U98" s="13"/>
      <c r="V98" s="35">
        <f>IF(T$12=0,0,T98/T$12)</f>
        <v>-7.9076515002694583</v>
      </c>
      <c r="W98" s="16"/>
      <c r="X98" s="32">
        <f>+P98-T98</f>
        <v>-23291.455948542309</v>
      </c>
      <c r="Y98" s="16"/>
      <c r="Z98" s="35">
        <f>IF(T98=0,0,X98/T98)</f>
        <v>0.22953809077805737</v>
      </c>
    </row>
    <row r="99" spans="1:26" ht="15.75" thickTop="1" x14ac:dyDescent="0.25">
      <c r="A99" s="9"/>
      <c r="C99" s="9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9">
        <v>44113.689886956017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2" t="s">
        <v>314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3"/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","418", " - ", "Nugget")</f>
        <v>Department 418 - Nugget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3"/>
      <c r="G13" s="2"/>
      <c r="H13" s="2">
        <v>0</v>
      </c>
      <c r="I13" s="2"/>
      <c r="J13" s="23"/>
      <c r="K13" s="2"/>
      <c r="L13" s="2">
        <f t="shared" si="0"/>
        <v>0</v>
      </c>
      <c r="M13" s="2"/>
      <c r="N13" s="23">
        <f t="shared" si="1"/>
        <v>0</v>
      </c>
      <c r="O13" s="11"/>
      <c r="P13" s="2">
        <f t="shared" ref="P13:P14" si="5">0</f>
        <v>0</v>
      </c>
      <c r="Q13" s="2"/>
      <c r="R13" s="23"/>
      <c r="S13" s="2"/>
      <c r="T13" s="2">
        <v>0</v>
      </c>
      <c r="U13" s="2"/>
      <c r="V13" s="23"/>
      <c r="W13" s="2"/>
      <c r="X13" s="2">
        <f t="shared" si="2"/>
        <v>0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3"/>
      <c r="G14" s="2"/>
      <c r="H14" s="2">
        <v>0</v>
      </c>
      <c r="I14" s="2"/>
      <c r="J14" s="23"/>
      <c r="K14" s="2"/>
      <c r="L14" s="2">
        <f t="shared" si="0"/>
        <v>0</v>
      </c>
      <c r="M14" s="2"/>
      <c r="N14" s="23">
        <f t="shared" si="1"/>
        <v>0</v>
      </c>
      <c r="O14" s="11"/>
      <c r="P14" s="2">
        <f t="shared" si="5"/>
        <v>0</v>
      </c>
      <c r="Q14" s="2"/>
      <c r="R14" s="23"/>
      <c r="S14" s="2"/>
      <c r="T14" s="2">
        <v>0</v>
      </c>
      <c r="U14" s="2"/>
      <c r="V14" s="23"/>
      <c r="W14" s="2"/>
      <c r="X14" s="2">
        <f t="shared" si="2"/>
        <v>0</v>
      </c>
      <c r="Y14" s="2"/>
      <c r="Z14" s="23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3">
        <f t="shared" si="6"/>
        <v>0</v>
      </c>
      <c r="G17" s="2"/>
      <c r="H17" s="2">
        <v>0</v>
      </c>
      <c r="I17" s="2"/>
      <c r="J17" s="23">
        <f t="shared" si="7"/>
        <v>0</v>
      </c>
      <c r="K17" s="2"/>
      <c r="L17" s="2">
        <f t="shared" si="8"/>
        <v>0</v>
      </c>
      <c r="M17" s="2"/>
      <c r="N17" s="23">
        <f t="shared" si="9"/>
        <v>0</v>
      </c>
      <c r="O17" s="11"/>
      <c r="P17" s="2"/>
      <c r="Q17" s="2"/>
      <c r="R17" s="23">
        <f t="shared" si="10"/>
        <v>0</v>
      </c>
      <c r="S17" s="2"/>
      <c r="T17" s="2">
        <v>0</v>
      </c>
      <c r="U17" s="2"/>
      <c r="V17" s="23">
        <f t="shared" si="11"/>
        <v>0</v>
      </c>
      <c r="W17" s="2"/>
      <c r="X17" s="2">
        <f t="shared" si="12"/>
        <v>0</v>
      </c>
      <c r="Y17" s="2"/>
      <c r="Z17" s="23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2" customFormat="1" x14ac:dyDescent="0.25">
      <c r="A19" s="10"/>
      <c r="B19" s="26" t="s">
        <v>6</v>
      </c>
      <c r="C19" s="26"/>
      <c r="D19" s="21">
        <f>D12-D16</f>
        <v>0</v>
      </c>
      <c r="E19" s="13"/>
      <c r="F19" s="20">
        <f>IF(D$12=0,0,D19/D$12)</f>
        <v>0</v>
      </c>
      <c r="G19" s="13"/>
      <c r="H19" s="21">
        <f>H12-H16</f>
        <v>0</v>
      </c>
      <c r="I19" s="13"/>
      <c r="J19" s="20">
        <f>IF(H$12=0,0,H19/H$12)</f>
        <v>0</v>
      </c>
      <c r="K19" s="16"/>
      <c r="L19" s="21">
        <f>+D19-H19</f>
        <v>0</v>
      </c>
      <c r="M19" s="16"/>
      <c r="N19" s="20">
        <f>IF(H19=0,0,L19/H19)</f>
        <v>0</v>
      </c>
      <c r="O19" s="25"/>
      <c r="P19" s="21">
        <f>P12-P16</f>
        <v>0</v>
      </c>
      <c r="Q19" s="13"/>
      <c r="R19" s="20">
        <f>IF(P$12=0,0,P19/P$12)</f>
        <v>0</v>
      </c>
      <c r="S19" s="13"/>
      <c r="T19" s="21">
        <f>T12-T16</f>
        <v>0</v>
      </c>
      <c r="U19" s="13"/>
      <c r="V19" s="20">
        <f>IF(T$12=0,0,T19/T$12)</f>
        <v>0</v>
      </c>
      <c r="W19" s="16"/>
      <c r="X19" s="21">
        <f>+P19-T19</f>
        <v>0</v>
      </c>
      <c r="Y19" s="16"/>
      <c r="Z19" s="20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2" customFormat="1" x14ac:dyDescent="0.25">
      <c r="A21" s="10"/>
      <c r="B21" s="25" t="s">
        <v>9</v>
      </c>
      <c r="C21" s="10"/>
      <c r="D21" s="19">
        <f>SUM(OSRRefD22x_0)</f>
        <v>7362.1500000000005</v>
      </c>
      <c r="E21" s="19"/>
      <c r="F21" s="30">
        <f t="shared" ref="F21:F30" si="14">IF(D$12=0,0,D21/D$12)</f>
        <v>0</v>
      </c>
      <c r="G21" s="19"/>
      <c r="H21" s="19">
        <f>SUM(OSRRefH22x_0)</f>
        <v>7178</v>
      </c>
      <c r="I21" s="19"/>
      <c r="J21" s="30">
        <f t="shared" ref="J21:J30" si="15">IF(H$12=0,0,H21/H$12)</f>
        <v>0</v>
      </c>
      <c r="K21" s="4"/>
      <c r="L21" s="19">
        <f t="shared" ref="L21:L30" si="16">+D21-H21</f>
        <v>184.15000000000055</v>
      </c>
      <c r="M21" s="4"/>
      <c r="N21" s="30">
        <f t="shared" ref="N21:N30" si="17">IF(H21=0,0,L21/H21)</f>
        <v>2.5654778489830114E-2</v>
      </c>
      <c r="O21" s="10"/>
      <c r="P21" s="19">
        <f>SUM(OSRRefP22x_0)</f>
        <v>24429.62</v>
      </c>
      <c r="Q21" s="19"/>
      <c r="R21" s="30">
        <f t="shared" ref="R21:R30" si="18">IF(P$12=0,0,P21/P$12)</f>
        <v>0</v>
      </c>
      <c r="S21" s="19"/>
      <c r="T21" s="19">
        <f>SUM(OSRRefT22x_0)</f>
        <v>14356</v>
      </c>
      <c r="U21" s="19"/>
      <c r="V21" s="30">
        <f t="shared" ref="V21:V30" si="19">IF(T$12=0,0,T21/T$12)</f>
        <v>0</v>
      </c>
      <c r="W21" s="4"/>
      <c r="X21" s="19">
        <f t="shared" ref="X21:X30" si="20">+P21-T21</f>
        <v>10073.619999999999</v>
      </c>
      <c r="Y21" s="4"/>
      <c r="Z21" s="30">
        <f t="shared" ref="Z21:Z30" si="21">IF(T21=0,0,X21/T21)</f>
        <v>0.70170103092783498</v>
      </c>
    </row>
    <row r="22" spans="1:26" s="29" customFormat="1" outlineLevel="1" collapsed="1" x14ac:dyDescent="0.25">
      <c r="A22" s="28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6083.9599999999991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6083.9599999999991</v>
      </c>
      <c r="Y22" s="1"/>
      <c r="Z22" s="5">
        <f t="shared" si="21"/>
        <v>0</v>
      </c>
    </row>
    <row r="23" spans="1:26" s="24" customFormat="1" hidden="1" outlineLevel="2" x14ac:dyDescent="0.25">
      <c r="A23" s="27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235.15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235.15</v>
      </c>
      <c r="Y23" s="2"/>
      <c r="Z23" s="7">
        <f t="shared" si="21"/>
        <v>0</v>
      </c>
    </row>
    <row r="24" spans="1:26" s="24" customFormat="1" hidden="1" outlineLevel="2" x14ac:dyDescent="0.25">
      <c r="A24" s="27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7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4780.67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4780.67</v>
      </c>
      <c r="Y25" s="2"/>
      <c r="Z25" s="7">
        <f t="shared" si="21"/>
        <v>0</v>
      </c>
    </row>
    <row r="26" spans="1:26" s="24" customFormat="1" hidden="1" outlineLevel="2" x14ac:dyDescent="0.25">
      <c r="A26" s="27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7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678.15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678.15</v>
      </c>
      <c r="Y27" s="2"/>
      <c r="Z27" s="7">
        <f t="shared" si="21"/>
        <v>0</v>
      </c>
    </row>
    <row r="28" spans="1:26" s="24" customFormat="1" hidden="1" outlineLevel="2" x14ac:dyDescent="0.25">
      <c r="A28" s="27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248.21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248.21</v>
      </c>
      <c r="Y29" s="2"/>
      <c r="Z29" s="7">
        <f t="shared" si="21"/>
        <v>0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141.78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141.78</v>
      </c>
      <c r="Y30" s="2"/>
      <c r="Z30" s="7">
        <f t="shared" si="21"/>
        <v>0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>
        <v>2151.69</v>
      </c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2151.69</v>
      </c>
      <c r="Y33" s="2"/>
      <c r="Z33" s="7">
        <f t="shared" si="29"/>
        <v>0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9" customFormat="1" outlineLevel="1" collapsed="1" x14ac:dyDescent="0.25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7177.55</v>
      </c>
      <c r="E46" s="1"/>
      <c r="F46" s="5">
        <f t="shared" si="30"/>
        <v>0</v>
      </c>
      <c r="G46" s="1"/>
      <c r="H46" s="1">
        <f>SUM(OSRRefH22_4x_0)</f>
        <v>7178</v>
      </c>
      <c r="I46" s="1"/>
      <c r="J46" s="5">
        <f t="shared" si="31"/>
        <v>0</v>
      </c>
      <c r="K46" s="1"/>
      <c r="L46" s="1">
        <f t="shared" si="32"/>
        <v>-0.4499999999998181</v>
      </c>
      <c r="M46" s="1"/>
      <c r="N46" s="5">
        <f t="shared" si="33"/>
        <v>-6.2691557536893023E-5</v>
      </c>
      <c r="O46" s="14"/>
      <c r="P46" s="1">
        <f>SUM(OSRRefP22_4x_0)</f>
        <v>14355.1</v>
      </c>
      <c r="Q46" s="1"/>
      <c r="R46" s="5">
        <f t="shared" si="34"/>
        <v>0</v>
      </c>
      <c r="S46" s="1"/>
      <c r="T46" s="1">
        <f>SUM(OSRRefT22_4x_0)</f>
        <v>14356</v>
      </c>
      <c r="U46" s="1"/>
      <c r="V46" s="5">
        <f t="shared" si="35"/>
        <v>0</v>
      </c>
      <c r="W46" s="1"/>
      <c r="X46" s="1">
        <f t="shared" si="36"/>
        <v>-0.8999999999996362</v>
      </c>
      <c r="Y46" s="1"/>
      <c r="Z46" s="5">
        <f t="shared" si="37"/>
        <v>-6.2691557536893023E-5</v>
      </c>
    </row>
    <row r="47" spans="1:26" s="24" customFormat="1" hidden="1" outlineLevel="2" x14ac:dyDescent="0.25">
      <c r="A47" s="27"/>
      <c r="B47" s="11" t="str">
        <f>CONCATENATE("          ", "6321", " - ", "BUILDING DEPRECIATION")</f>
        <v xml:space="preserve">          6321 - BUILDING DEPRECIATION</v>
      </c>
      <c r="C47" s="11"/>
      <c r="D47" s="6">
        <v>6537.05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6537.05</v>
      </c>
      <c r="M47" s="2"/>
      <c r="N47" s="7">
        <f t="shared" si="33"/>
        <v>0</v>
      </c>
      <c r="O47" s="11"/>
      <c r="P47" s="6">
        <v>13074.1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13074.1</v>
      </c>
      <c r="Y47" s="2"/>
      <c r="Z47" s="7">
        <f t="shared" si="37"/>
        <v>0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640.5</v>
      </c>
      <c r="E48" s="2"/>
      <c r="F48" s="7">
        <f t="shared" si="30"/>
        <v>0</v>
      </c>
      <c r="G48" s="2"/>
      <c r="H48" s="6">
        <v>7178</v>
      </c>
      <c r="I48" s="2"/>
      <c r="J48" s="7">
        <f t="shared" si="31"/>
        <v>0</v>
      </c>
      <c r="K48" s="2"/>
      <c r="L48" s="6">
        <f t="shared" si="32"/>
        <v>-6537.5</v>
      </c>
      <c r="M48" s="2"/>
      <c r="N48" s="7">
        <f t="shared" si="33"/>
        <v>-0.91076901643911956</v>
      </c>
      <c r="O48" s="11"/>
      <c r="P48" s="6">
        <v>1281</v>
      </c>
      <c r="Q48" s="2"/>
      <c r="R48" s="7">
        <f t="shared" si="34"/>
        <v>0</v>
      </c>
      <c r="S48" s="2"/>
      <c r="T48" s="6">
        <v>14356</v>
      </c>
      <c r="U48" s="2"/>
      <c r="V48" s="7">
        <f t="shared" si="35"/>
        <v>0</v>
      </c>
      <c r="W48" s="2"/>
      <c r="X48" s="6">
        <f t="shared" si="36"/>
        <v>-13075</v>
      </c>
      <c r="Y48" s="2"/>
      <c r="Z48" s="7">
        <f t="shared" si="37"/>
        <v>-0.91076901643911956</v>
      </c>
    </row>
    <row r="49" spans="1:26" s="29" customFormat="1" outlineLevel="1" collapsed="1" x14ac:dyDescent="0.25">
      <c r="A49" s="28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7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8"/>
        <v>0</v>
      </c>
      <c r="G50" s="2"/>
      <c r="H50" s="6">
        <v>0</v>
      </c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/>
      <c r="Q50" s="2"/>
      <c r="R50" s="7">
        <f t="shared" si="42"/>
        <v>0</v>
      </c>
      <c r="S50" s="2"/>
      <c r="T50" s="6">
        <v>0</v>
      </c>
      <c r="U50" s="2"/>
      <c r="V50" s="7">
        <f t="shared" si="43"/>
        <v>0</v>
      </c>
      <c r="W50" s="2"/>
      <c r="X50" s="6">
        <f t="shared" si="44"/>
        <v>0</v>
      </c>
      <c r="Y50" s="2"/>
      <c r="Z50" s="7">
        <f t="shared" si="45"/>
        <v>0</v>
      </c>
    </row>
    <row r="51" spans="1:26" s="29" customFormat="1" outlineLevel="1" collapsed="1" x14ac:dyDescent="0.25">
      <c r="A51" s="28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7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263.72000000000003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263.72000000000003</v>
      </c>
      <c r="Y52" s="2"/>
      <c r="Z52" s="7">
        <f t="shared" si="45"/>
        <v>0</v>
      </c>
    </row>
    <row r="53" spans="1:26" s="29" customFormat="1" outlineLevel="1" collapsed="1" x14ac:dyDescent="0.25">
      <c r="A53" s="28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1284.55</v>
      </c>
      <c r="Q54" s="2"/>
      <c r="R54" s="7">
        <f t="shared" si="42"/>
        <v>0</v>
      </c>
      <c r="S54" s="2"/>
      <c r="T54" s="6">
        <v>0</v>
      </c>
      <c r="U54" s="2"/>
      <c r="V54" s="7">
        <f t="shared" si="43"/>
        <v>0</v>
      </c>
      <c r="W54" s="2"/>
      <c r="X54" s="6">
        <f t="shared" si="44"/>
        <v>1284.55</v>
      </c>
      <c r="Y54" s="2"/>
      <c r="Z54" s="7">
        <f t="shared" si="45"/>
        <v>0</v>
      </c>
    </row>
    <row r="55" spans="1:26" s="29" customFormat="1" outlineLevel="1" collapsed="1" x14ac:dyDescent="0.25">
      <c r="A55" s="28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78.599999999999994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78.599999999999994</v>
      </c>
      <c r="M55" s="1"/>
      <c r="N55" s="5">
        <f t="shared" si="41"/>
        <v>0</v>
      </c>
      <c r="O55" s="14"/>
      <c r="P55" s="1">
        <f>SUM(OSRRefP22_8x_0)</f>
        <v>78.599999999999994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78.599999999999994</v>
      </c>
      <c r="Y55" s="1"/>
      <c r="Z55" s="5">
        <f t="shared" si="45"/>
        <v>0</v>
      </c>
    </row>
    <row r="56" spans="1:26" s="24" customFormat="1" hidden="1" outlineLevel="2" x14ac:dyDescent="0.25">
      <c r="A56" s="27"/>
      <c r="B56" s="11" t="str">
        <f>CONCATENATE("          ", "6372", " - ", "COMPUTER HARDWARE MAINTENANCE")</f>
        <v xml:space="preserve">          6372 - COMPUTER HARDWARE MAINTENANCE</v>
      </c>
      <c r="C56" s="11"/>
      <c r="D56" s="6"/>
      <c r="E56" s="2"/>
      <c r="F56" s="7">
        <f t="shared" si="38"/>
        <v>0</v>
      </c>
      <c r="G56" s="2"/>
      <c r="H56" s="6">
        <v>0</v>
      </c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/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0</v>
      </c>
      <c r="Y56" s="2"/>
      <c r="Z56" s="7">
        <f t="shared" si="45"/>
        <v>0</v>
      </c>
    </row>
    <row r="57" spans="1:26" s="24" customFormat="1" hidden="1" outlineLevel="2" x14ac:dyDescent="0.25">
      <c r="A57" s="27"/>
      <c r="B57" s="11" t="str">
        <f>CONCATENATE("          ", "6373", " - ", "MAINTENANCE CONTRACTS")</f>
        <v xml:space="preserve">          6373 - MAINTENANCE CONTRACTS</v>
      </c>
      <c r="C57" s="11"/>
      <c r="D57" s="6">
        <v>78.599999999999994</v>
      </c>
      <c r="E57" s="2"/>
      <c r="F57" s="7">
        <f t="shared" si="38"/>
        <v>0</v>
      </c>
      <c r="G57" s="2"/>
      <c r="H57" s="6">
        <v>0</v>
      </c>
      <c r="I57" s="2"/>
      <c r="J57" s="7">
        <f t="shared" si="39"/>
        <v>0</v>
      </c>
      <c r="K57" s="2"/>
      <c r="L57" s="6">
        <f t="shared" si="40"/>
        <v>78.599999999999994</v>
      </c>
      <c r="M57" s="2"/>
      <c r="N57" s="7">
        <f t="shared" si="41"/>
        <v>0</v>
      </c>
      <c r="O57" s="11"/>
      <c r="P57" s="6">
        <v>78.599999999999994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78.599999999999994</v>
      </c>
      <c r="Y57" s="2"/>
      <c r="Z57" s="7">
        <f t="shared" si="45"/>
        <v>0</v>
      </c>
    </row>
    <row r="58" spans="1:26" s="24" customFormat="1" hidden="1" outlineLevel="2" x14ac:dyDescent="0.2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8"/>
        <v>0</v>
      </c>
      <c r="G58" s="2"/>
      <c r="H58" s="6">
        <v>0</v>
      </c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0</v>
      </c>
      <c r="U58" s="2"/>
      <c r="V58" s="7">
        <f t="shared" si="43"/>
        <v>0</v>
      </c>
      <c r="W58" s="2"/>
      <c r="X58" s="6">
        <f t="shared" si="44"/>
        <v>0</v>
      </c>
      <c r="Y58" s="2"/>
      <c r="Z58" s="7">
        <f t="shared" si="45"/>
        <v>0</v>
      </c>
    </row>
    <row r="59" spans="1:26" s="29" customFormat="1" outlineLevel="1" collapsed="1" x14ac:dyDescent="0.25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7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46"/>
        <v>0</v>
      </c>
      <c r="G60" s="2"/>
      <c r="H60" s="6">
        <v>0</v>
      </c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0</v>
      </c>
      <c r="U60" s="2"/>
      <c r="V60" s="7">
        <f t="shared" si="51"/>
        <v>0</v>
      </c>
      <c r="W60" s="2"/>
      <c r="X60" s="6">
        <f t="shared" si="52"/>
        <v>0</v>
      </c>
      <c r="Y60" s="2"/>
      <c r="Z60" s="7">
        <f t="shared" si="53"/>
        <v>0</v>
      </c>
    </row>
    <row r="61" spans="1:26" s="24" customFormat="1" hidden="1" outlineLevel="2" x14ac:dyDescent="0.25">
      <c r="A61" s="27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9" customFormat="1" outlineLevel="1" collapsed="1" x14ac:dyDescent="0.25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74" si="54">IF(D$12=0,0,D62/D$12)</f>
        <v>0</v>
      </c>
      <c r="G62" s="1"/>
      <c r="H62" s="1">
        <f>SUM(OSRRefH22_10x_0)</f>
        <v>0</v>
      </c>
      <c r="I62" s="1"/>
      <c r="J62" s="5">
        <f t="shared" ref="J62:J74" si="55">IF(H$12=0,0,H62/H$12)</f>
        <v>0</v>
      </c>
      <c r="K62" s="1"/>
      <c r="L62" s="1">
        <f t="shared" ref="L62:L74" si="56">+D62-H62</f>
        <v>0</v>
      </c>
      <c r="M62" s="1"/>
      <c r="N62" s="5">
        <f t="shared" ref="N62:N74" si="57">IF(H62=0,0,L62/H62)</f>
        <v>0</v>
      </c>
      <c r="O62" s="14"/>
      <c r="P62" s="1">
        <f>SUM(OSRRefP22_10x_0)</f>
        <v>0</v>
      </c>
      <c r="Q62" s="1"/>
      <c r="R62" s="5">
        <f t="shared" ref="R62:R74" si="58">IF(P$12=0,0,P62/P$12)</f>
        <v>0</v>
      </c>
      <c r="S62" s="1"/>
      <c r="T62" s="1">
        <f>SUM(OSRRefT22_10x_0)</f>
        <v>0</v>
      </c>
      <c r="U62" s="1"/>
      <c r="V62" s="5">
        <f t="shared" ref="V62:V74" si="59">IF(T$12=0,0,T62/T$12)</f>
        <v>0</v>
      </c>
      <c r="W62" s="1"/>
      <c r="X62" s="1">
        <f t="shared" ref="X62:X74" si="60">+P62-T62</f>
        <v>0</v>
      </c>
      <c r="Y62" s="1"/>
      <c r="Z62" s="5">
        <f t="shared" ref="Z62:Z74" si="61">IF(T62=0,0,X62/T62)</f>
        <v>0</v>
      </c>
    </row>
    <row r="63" spans="1:26" s="24" customFormat="1" hidden="1" outlineLevel="2" x14ac:dyDescent="0.25">
      <c r="A63" s="27"/>
      <c r="B63" s="11" t="str">
        <f>CONCATENATE("          ", "6275", " - ", "SUBSCRIPTIONS")</f>
        <v xml:space="preserve">          6275 - SUBSCRIPTIONS</v>
      </c>
      <c r="C63" s="11"/>
      <c r="D63" s="6"/>
      <c r="E63" s="2"/>
      <c r="F63" s="7">
        <f t="shared" si="54"/>
        <v>0</v>
      </c>
      <c r="G63" s="2"/>
      <c r="H63" s="6">
        <v>0</v>
      </c>
      <c r="I63" s="2"/>
      <c r="J63" s="7">
        <f t="shared" si="55"/>
        <v>0</v>
      </c>
      <c r="K63" s="2"/>
      <c r="L63" s="6">
        <f t="shared" si="56"/>
        <v>0</v>
      </c>
      <c r="M63" s="2"/>
      <c r="N63" s="7">
        <f t="shared" si="57"/>
        <v>0</v>
      </c>
      <c r="O63" s="11"/>
      <c r="P63" s="6"/>
      <c r="Q63" s="2"/>
      <c r="R63" s="7">
        <f t="shared" si="58"/>
        <v>0</v>
      </c>
      <c r="S63" s="2"/>
      <c r="T63" s="6">
        <v>0</v>
      </c>
      <c r="U63" s="2"/>
      <c r="V63" s="7">
        <f t="shared" si="59"/>
        <v>0</v>
      </c>
      <c r="W63" s="2"/>
      <c r="X63" s="6">
        <f t="shared" si="60"/>
        <v>0</v>
      </c>
      <c r="Y63" s="2"/>
      <c r="Z63" s="7">
        <f t="shared" si="61"/>
        <v>0</v>
      </c>
    </row>
    <row r="64" spans="1:26" s="29" customFormat="1" outlineLevel="1" collapsed="1" x14ac:dyDescent="0.25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si="54"/>
        <v>0</v>
      </c>
      <c r="G64" s="1"/>
      <c r="H64" s="1">
        <f>SUM(OSRRefH22_11x_0)</f>
        <v>0</v>
      </c>
      <c r="I64" s="1"/>
      <c r="J64" s="5">
        <f t="shared" si="55"/>
        <v>0</v>
      </c>
      <c r="K64" s="1"/>
      <c r="L64" s="1">
        <f t="shared" si="56"/>
        <v>0</v>
      </c>
      <c r="M64" s="1"/>
      <c r="N64" s="5">
        <f t="shared" si="57"/>
        <v>0</v>
      </c>
      <c r="O64" s="14"/>
      <c r="P64" s="1">
        <f>SUM(OSRRefP22_11x_0)</f>
        <v>0</v>
      </c>
      <c r="Q64" s="1"/>
      <c r="R64" s="5">
        <f t="shared" si="58"/>
        <v>0</v>
      </c>
      <c r="S64" s="1"/>
      <c r="T64" s="1">
        <f>SUM(OSRRefT22_11x_0)</f>
        <v>0</v>
      </c>
      <c r="U64" s="1"/>
      <c r="V64" s="5">
        <f t="shared" si="59"/>
        <v>0</v>
      </c>
      <c r="W64" s="1"/>
      <c r="X64" s="1">
        <f t="shared" si="60"/>
        <v>0</v>
      </c>
      <c r="Y64" s="1"/>
      <c r="Z64" s="5">
        <f t="shared" si="61"/>
        <v>0</v>
      </c>
    </row>
    <row r="65" spans="1:26" s="24" customFormat="1" hidden="1" outlineLevel="2" x14ac:dyDescent="0.25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54"/>
        <v>0</v>
      </c>
      <c r="G65" s="2"/>
      <c r="H65" s="6">
        <v>0</v>
      </c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/>
      <c r="Q65" s="2"/>
      <c r="R65" s="7">
        <f t="shared" si="58"/>
        <v>0</v>
      </c>
      <c r="S65" s="2"/>
      <c r="T65" s="6">
        <v>0</v>
      </c>
      <c r="U65" s="2"/>
      <c r="V65" s="7">
        <f t="shared" si="59"/>
        <v>0</v>
      </c>
      <c r="W65" s="2"/>
      <c r="X65" s="6">
        <f t="shared" si="60"/>
        <v>0</v>
      </c>
      <c r="Y65" s="2"/>
      <c r="Z65" s="7">
        <f t="shared" si="61"/>
        <v>0</v>
      </c>
    </row>
    <row r="66" spans="1:26" s="24" customFormat="1" hidden="1" outlineLevel="2" x14ac:dyDescent="0.25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54"/>
        <v>0</v>
      </c>
      <c r="G67" s="2"/>
      <c r="H67" s="6">
        <v>0</v>
      </c>
      <c r="I67" s="2"/>
      <c r="J67" s="7">
        <f t="shared" si="55"/>
        <v>0</v>
      </c>
      <c r="K67" s="2"/>
      <c r="L67" s="6">
        <f t="shared" si="56"/>
        <v>0</v>
      </c>
      <c r="M67" s="2"/>
      <c r="N67" s="7">
        <f t="shared" si="57"/>
        <v>0</v>
      </c>
      <c r="O67" s="11"/>
      <c r="P67" s="6"/>
      <c r="Q67" s="2"/>
      <c r="R67" s="7">
        <f t="shared" si="58"/>
        <v>0</v>
      </c>
      <c r="S67" s="2"/>
      <c r="T67" s="6">
        <v>0</v>
      </c>
      <c r="U67" s="2"/>
      <c r="V67" s="7">
        <f t="shared" si="59"/>
        <v>0</v>
      </c>
      <c r="W67" s="2"/>
      <c r="X67" s="6">
        <f t="shared" si="60"/>
        <v>0</v>
      </c>
      <c r="Y67" s="2"/>
      <c r="Z67" s="7">
        <f t="shared" si="61"/>
        <v>0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54"/>
        <v>0</v>
      </c>
      <c r="G68" s="2"/>
      <c r="H68" s="6">
        <v>0</v>
      </c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7"/>
      <c r="B71" s="11" t="str">
        <f>CONCATENATE("          ", "6244", " - ", "SAFETY SUPPLY EXPENSE")</f>
        <v xml:space="preserve">          6244 - SAFETY SUPPLY EXPENSE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7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7"/>
      <c r="B73" s="11" t="str">
        <f>CONCATENATE("          ", "6246", " - ", "REPLACEMENTS")</f>
        <v xml:space="preserve">          6246 - REPLACEMENTS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7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4"/>
        <v>0</v>
      </c>
      <c r="G74" s="2"/>
      <c r="H74" s="6"/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9" customFormat="1" outlineLevel="1" collapsed="1" x14ac:dyDescent="0.25">
      <c r="A75" s="28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106</v>
      </c>
      <c r="E75" s="1"/>
      <c r="F75" s="5">
        <f t="shared" ref="F75:F77" si="62">IF(D$12=0,0,D75/D$12)</f>
        <v>0</v>
      </c>
      <c r="G75" s="1"/>
      <c r="H75" s="1">
        <f>SUM(OSRRefH22_12x_0)</f>
        <v>0</v>
      </c>
      <c r="I75" s="1"/>
      <c r="J75" s="5">
        <f t="shared" ref="J75:J77" si="63">IF(H$12=0,0,H75/H$12)</f>
        <v>0</v>
      </c>
      <c r="K75" s="1"/>
      <c r="L75" s="1">
        <f t="shared" ref="L75:L77" si="64">+D75-H75</f>
        <v>106</v>
      </c>
      <c r="M75" s="1"/>
      <c r="N75" s="5">
        <f t="shared" ref="N75:N77" si="65">IF(H75=0,0,L75/H75)</f>
        <v>0</v>
      </c>
      <c r="O75" s="14"/>
      <c r="P75" s="1">
        <f>SUM(OSRRefP22_12x_0)</f>
        <v>212</v>
      </c>
      <c r="Q75" s="1"/>
      <c r="R75" s="5">
        <f t="shared" ref="R75:R77" si="66">IF(P$12=0,0,P75/P$12)</f>
        <v>0</v>
      </c>
      <c r="S75" s="1"/>
      <c r="T75" s="1">
        <f>SUM(OSRRefT22_12x_0)</f>
        <v>0</v>
      </c>
      <c r="U75" s="1"/>
      <c r="V75" s="5">
        <f t="shared" ref="V75:V77" si="67">IF(T$12=0,0,T75/T$12)</f>
        <v>0</v>
      </c>
      <c r="W75" s="1"/>
      <c r="X75" s="1">
        <f t="shared" ref="X75:X77" si="68">+P75-T75</f>
        <v>212</v>
      </c>
      <c r="Y75" s="1"/>
      <c r="Z75" s="5">
        <f t="shared" ref="Z75:Z77" si="69">IF(T75=0,0,X75/T75)</f>
        <v>0</v>
      </c>
    </row>
    <row r="76" spans="1:26" s="24" customFormat="1" hidden="1" outlineLevel="2" x14ac:dyDescent="0.25">
      <c r="A76" s="27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2"/>
        <v>0</v>
      </c>
      <c r="G76" s="2"/>
      <c r="H76" s="6">
        <v>0</v>
      </c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/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0</v>
      </c>
      <c r="Y76" s="2"/>
      <c r="Z76" s="7">
        <f t="shared" si="69"/>
        <v>0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106</v>
      </c>
      <c r="E77" s="2"/>
      <c r="F77" s="7">
        <f t="shared" si="62"/>
        <v>0</v>
      </c>
      <c r="G77" s="2"/>
      <c r="H77" s="6"/>
      <c r="I77" s="2"/>
      <c r="J77" s="7">
        <f t="shared" si="63"/>
        <v>0</v>
      </c>
      <c r="K77" s="2"/>
      <c r="L77" s="6">
        <f t="shared" si="64"/>
        <v>106</v>
      </c>
      <c r="M77" s="2"/>
      <c r="N77" s="7">
        <f t="shared" si="65"/>
        <v>0</v>
      </c>
      <c r="O77" s="11"/>
      <c r="P77" s="6">
        <v>212</v>
      </c>
      <c r="Q77" s="2"/>
      <c r="R77" s="7">
        <f t="shared" si="66"/>
        <v>0</v>
      </c>
      <c r="S77" s="2"/>
      <c r="T77" s="6"/>
      <c r="U77" s="2"/>
      <c r="V77" s="7">
        <f t="shared" si="67"/>
        <v>0</v>
      </c>
      <c r="W77" s="2"/>
      <c r="X77" s="6">
        <f t="shared" si="68"/>
        <v>212</v>
      </c>
      <c r="Y77" s="2"/>
      <c r="Z77" s="7">
        <f t="shared" si="69"/>
        <v>0</v>
      </c>
    </row>
    <row r="78" spans="1:26" s="29" customFormat="1" outlineLevel="1" collapsed="1" x14ac:dyDescent="0.25">
      <c r="A78" s="28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70">IF(D$12=0,0,D78/D$12)</f>
        <v>0</v>
      </c>
      <c r="G78" s="1"/>
      <c r="H78" s="1">
        <f>SUM(OSRRefH22_13x_0)</f>
        <v>0</v>
      </c>
      <c r="I78" s="1"/>
      <c r="J78" s="5">
        <f t="shared" ref="J78:J79" si="71">IF(H$12=0,0,H78/H$12)</f>
        <v>0</v>
      </c>
      <c r="K78" s="1"/>
      <c r="L78" s="1">
        <f t="shared" ref="L78:L79" si="72">+D78-H78</f>
        <v>0</v>
      </c>
      <c r="M78" s="1"/>
      <c r="N78" s="5">
        <f t="shared" ref="N78:N79" si="73">IF(H78=0,0,L78/H78)</f>
        <v>0</v>
      </c>
      <c r="O78" s="14"/>
      <c r="P78" s="1">
        <f>SUM(OSRRefP22_13x_0)</f>
        <v>0</v>
      </c>
      <c r="Q78" s="1"/>
      <c r="R78" s="5">
        <f t="shared" ref="R78:R79" si="74">IF(P$12=0,0,P78/P$12)</f>
        <v>0</v>
      </c>
      <c r="S78" s="1"/>
      <c r="T78" s="1">
        <f>SUM(OSRRefT22_13x_0)</f>
        <v>0</v>
      </c>
      <c r="U78" s="1"/>
      <c r="V78" s="5">
        <f t="shared" ref="V78:V79" si="75">IF(T$12=0,0,T78/T$12)</f>
        <v>0</v>
      </c>
      <c r="W78" s="1"/>
      <c r="X78" s="1">
        <f t="shared" ref="X78:X79" si="76">+P78-T78</f>
        <v>0</v>
      </c>
      <c r="Y78" s="1"/>
      <c r="Z78" s="5">
        <f t="shared" ref="Z78:Z79" si="77">IF(T78=0,0,X78/T78)</f>
        <v>0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70"/>
        <v>0</v>
      </c>
      <c r="G79" s="2"/>
      <c r="H79" s="6">
        <v>0</v>
      </c>
      <c r="I79" s="2"/>
      <c r="J79" s="7">
        <f t="shared" si="71"/>
        <v>0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/>
      <c r="Q79" s="2"/>
      <c r="R79" s="7">
        <f t="shared" si="74"/>
        <v>0</v>
      </c>
      <c r="S79" s="2"/>
      <c r="T79" s="6">
        <v>0</v>
      </c>
      <c r="U79" s="2"/>
      <c r="V79" s="7">
        <f t="shared" si="75"/>
        <v>0</v>
      </c>
      <c r="W79" s="2"/>
      <c r="X79" s="6">
        <f t="shared" si="76"/>
        <v>0</v>
      </c>
      <c r="Y79" s="2"/>
      <c r="Z79" s="7">
        <f t="shared" si="77"/>
        <v>0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2" customFormat="1" collapsed="1" x14ac:dyDescent="0.25">
      <c r="A81" s="10"/>
      <c r="B81" s="25" t="s">
        <v>0</v>
      </c>
      <c r="C81" s="10"/>
      <c r="D81" s="4">
        <f>SUM(OSRRefD25x_0)</f>
        <v>111.42</v>
      </c>
      <c r="E81" s="4"/>
      <c r="F81" s="12">
        <f t="shared" ref="F81:F82" si="78">IF(D$12=0,0,D81/D$12)</f>
        <v>0</v>
      </c>
      <c r="G81" s="4"/>
      <c r="H81" s="4">
        <f>SUM(OSRRefH25x_0)</f>
        <v>0</v>
      </c>
      <c r="I81" s="4"/>
      <c r="J81" s="12">
        <f t="shared" ref="J81:J82" si="79">IF(H$12=0,0,H81/H$12)</f>
        <v>0</v>
      </c>
      <c r="K81" s="4"/>
      <c r="L81" s="4">
        <f t="shared" ref="L81:L82" si="80">+D81-H81</f>
        <v>111.42</v>
      </c>
      <c r="M81" s="4"/>
      <c r="N81" s="12">
        <f t="shared" ref="N81:N82" si="81">IF(H81=0,0,L81/H81)</f>
        <v>0</v>
      </c>
      <c r="O81" s="10"/>
      <c r="P81" s="4">
        <f>SUM(OSRRefP25x_0)</f>
        <v>111.42</v>
      </c>
      <c r="Q81" s="4"/>
      <c r="R81" s="12">
        <f t="shared" ref="R81:R82" si="82">IF(P$12=0,0,P81/P$12)</f>
        <v>0</v>
      </c>
      <c r="S81" s="4"/>
      <c r="T81" s="4">
        <f>SUM(OSRRefT25x_0)</f>
        <v>0</v>
      </c>
      <c r="U81" s="4"/>
      <c r="V81" s="12">
        <f t="shared" ref="V81:V82" si="83">IF(T$12=0,0,T81/T$12)</f>
        <v>0</v>
      </c>
      <c r="W81" s="4"/>
      <c r="X81" s="4">
        <f t="shared" ref="X81:X82" si="84">+P81-T81</f>
        <v>111.42</v>
      </c>
      <c r="Y81" s="4"/>
      <c r="Z81" s="12">
        <f t="shared" ref="Z81:Z82" si="85">IF(T81=0,0,X81/T81)</f>
        <v>0</v>
      </c>
    </row>
    <row r="82" spans="1:26" s="24" customFormat="1" hidden="1" outlineLevel="1" x14ac:dyDescent="0.25">
      <c r="A82" s="51"/>
      <c r="B82" s="11" t="str">
        <f>CONCATENATE("          ", "9150", " - ", "MISC. INCOME")</f>
        <v xml:space="preserve">          9150 - MISC. INCOME</v>
      </c>
      <c r="C82" s="11"/>
      <c r="D82" s="2">
        <f>--111.42</f>
        <v>111.42</v>
      </c>
      <c r="E82" s="2"/>
      <c r="F82" s="23">
        <f t="shared" si="78"/>
        <v>0</v>
      </c>
      <c r="G82" s="2"/>
      <c r="H82" s="2"/>
      <c r="I82" s="2"/>
      <c r="J82" s="23">
        <f t="shared" si="79"/>
        <v>0</v>
      </c>
      <c r="K82" s="2"/>
      <c r="L82" s="2">
        <f t="shared" si="80"/>
        <v>111.42</v>
      </c>
      <c r="M82" s="2"/>
      <c r="N82" s="23">
        <f t="shared" si="81"/>
        <v>0</v>
      </c>
      <c r="O82" s="11"/>
      <c r="P82" s="2">
        <f>--111.42</f>
        <v>111.42</v>
      </c>
      <c r="Q82" s="2"/>
      <c r="R82" s="23">
        <f t="shared" si="82"/>
        <v>0</v>
      </c>
      <c r="S82" s="2"/>
      <c r="T82" s="2"/>
      <c r="U82" s="2"/>
      <c r="V82" s="23">
        <f t="shared" si="83"/>
        <v>0</v>
      </c>
      <c r="W82" s="2"/>
      <c r="X82" s="2">
        <f t="shared" si="84"/>
        <v>111.42</v>
      </c>
      <c r="Y82" s="2"/>
      <c r="Z82" s="23">
        <f t="shared" si="85"/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2" customFormat="1" x14ac:dyDescent="0.25">
      <c r="A84" s="10"/>
      <c r="B84" s="26" t="s">
        <v>3</v>
      </c>
      <c r="C84" s="26"/>
      <c r="D84" s="21">
        <f>+D19-D21+D81</f>
        <v>-7250.7300000000005</v>
      </c>
      <c r="E84" s="13"/>
      <c r="F84" s="20">
        <f>IF(D$12=0,0,D84/D$12)</f>
        <v>0</v>
      </c>
      <c r="G84" s="13"/>
      <c r="H84" s="21">
        <f>+H19-H21+H81</f>
        <v>-7178</v>
      </c>
      <c r="I84" s="13"/>
      <c r="J84" s="20">
        <f>IF(H$12=0,0,H84/H$12)</f>
        <v>0</v>
      </c>
      <c r="K84" s="16"/>
      <c r="L84" s="21">
        <f>+D84-H84</f>
        <v>-72.730000000000473</v>
      </c>
      <c r="M84" s="16"/>
      <c r="N84" s="20">
        <f>IF(H84=0,0,L84/H84)</f>
        <v>1.0132348843689116E-2</v>
      </c>
      <c r="O84" s="25"/>
      <c r="P84" s="21">
        <f>+P19-P21+P81</f>
        <v>-24318.2</v>
      </c>
      <c r="Q84" s="13"/>
      <c r="R84" s="20">
        <f>IF(P$12=0,0,P84/P$12)</f>
        <v>0</v>
      </c>
      <c r="S84" s="13"/>
      <c r="T84" s="21">
        <f>+T19-T21+T81</f>
        <v>-14356</v>
      </c>
      <c r="U84" s="13"/>
      <c r="V84" s="20">
        <f>IF(T$12=0,0,T84/T$12)</f>
        <v>0</v>
      </c>
      <c r="W84" s="16"/>
      <c r="X84" s="21">
        <f>+P84-T84</f>
        <v>-9962.2000000000007</v>
      </c>
      <c r="Y84" s="16"/>
      <c r="Z84" s="20">
        <f>IF(T84=0,0,X84/T84)</f>
        <v>0.69393981610476463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2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2" customFormat="1" ht="15.75" thickBot="1" x14ac:dyDescent="0.3">
      <c r="A88" s="10"/>
      <c r="B88" s="26" t="s">
        <v>4</v>
      </c>
      <c r="C88" s="26"/>
      <c r="D88" s="33">
        <f>+D84-D86</f>
        <v>-7250.7300000000005</v>
      </c>
      <c r="E88" s="13"/>
      <c r="F88" s="31">
        <f>IF(D$12=0,0,D88/D$12)</f>
        <v>0</v>
      </c>
      <c r="G88" s="13"/>
      <c r="H88" s="33">
        <f>+H84-H86</f>
        <v>-7178</v>
      </c>
      <c r="I88" s="13"/>
      <c r="J88" s="31">
        <f>IF(H$12=0,0,H88/H$12)</f>
        <v>0</v>
      </c>
      <c r="K88" s="16"/>
      <c r="L88" s="33">
        <f>D88-H88</f>
        <v>-72.730000000000473</v>
      </c>
      <c r="M88" s="16"/>
      <c r="N88" s="31">
        <f>IF(H88=0,0,L88/H88)</f>
        <v>1.0132348843689116E-2</v>
      </c>
      <c r="O88" s="25"/>
      <c r="P88" s="33">
        <f>+P84-P86</f>
        <v>-24318.2</v>
      </c>
      <c r="Q88" s="13"/>
      <c r="R88" s="31">
        <f>IF(P$12=0,0,P88/P$12)</f>
        <v>0</v>
      </c>
      <c r="S88" s="13"/>
      <c r="T88" s="33">
        <f>+T84-T86</f>
        <v>-14356</v>
      </c>
      <c r="U88" s="13"/>
      <c r="V88" s="31">
        <f>IF(T$12=0,0,T88/T$12)</f>
        <v>0</v>
      </c>
      <c r="W88" s="16"/>
      <c r="X88" s="33">
        <f>P88-T88</f>
        <v>-9962.2000000000007</v>
      </c>
      <c r="Y88" s="16"/>
      <c r="Z88" s="31">
        <f>IF(T88=0,0,X88/T88)</f>
        <v>0.69393981610476463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2" customFormat="1" ht="15.75" thickBot="1" x14ac:dyDescent="0.3">
      <c r="A91" s="10"/>
      <c r="B91" s="26" t="s">
        <v>5</v>
      </c>
      <c r="C91" s="26"/>
      <c r="D91" s="32">
        <f>SUM(D88:D90)</f>
        <v>-7250.7300000000005</v>
      </c>
      <c r="E91" s="13"/>
      <c r="F91" s="35">
        <f>IF(D$12=0,0,D91/D$12)</f>
        <v>0</v>
      </c>
      <c r="G91" s="13"/>
      <c r="H91" s="32">
        <f>SUM(H88:H90)</f>
        <v>-7178</v>
      </c>
      <c r="I91" s="13"/>
      <c r="J91" s="35">
        <f>IF(H$12=0,0,H91/H$12)</f>
        <v>0</v>
      </c>
      <c r="K91" s="16"/>
      <c r="L91" s="32">
        <f>+D91-H91</f>
        <v>-72.730000000000473</v>
      </c>
      <c r="M91" s="16"/>
      <c r="N91" s="35">
        <f>IF(H91=0,0,L91/H91)</f>
        <v>1.0132348843689116E-2</v>
      </c>
      <c r="O91" s="25"/>
      <c r="P91" s="32">
        <f>SUM(P88:P90)</f>
        <v>-24318.2</v>
      </c>
      <c r="Q91" s="13"/>
      <c r="R91" s="35">
        <f>IF(P$12=0,0,P91/P$12)</f>
        <v>0</v>
      </c>
      <c r="S91" s="13"/>
      <c r="T91" s="32">
        <f>SUM(T88:T90)</f>
        <v>-14356</v>
      </c>
      <c r="U91" s="13"/>
      <c r="V91" s="35">
        <f>IF(T$12=0,0,T91/T$12)</f>
        <v>0</v>
      </c>
      <c r="W91" s="16"/>
      <c r="X91" s="32">
        <f>+P91-T91</f>
        <v>-9962.2000000000007</v>
      </c>
      <c r="Y91" s="16"/>
      <c r="Z91" s="35">
        <f>IF(T91=0,0,X91/T91)</f>
        <v>0.69393981610476463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>
        <v>44113.689918321761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","423", " - ", "Contract Revenue")</f>
        <v>Department 423 - Contract Revenue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36</v>
      </c>
      <c r="E18" s="19"/>
      <c r="F18" s="30">
        <f t="shared" ref="F18:F27" si="0">IF(D$12=0,0,D18/D$12)</f>
        <v>0</v>
      </c>
      <c r="G18" s="19"/>
      <c r="H18" s="19">
        <f>SUM(OSRRefH22x_0)</f>
        <v>14393.621307692309</v>
      </c>
      <c r="I18" s="19"/>
      <c r="J18" s="30">
        <f t="shared" ref="J18:J27" si="1">IF(H$12=0,0,H18/H$12)</f>
        <v>0</v>
      </c>
      <c r="K18" s="4"/>
      <c r="L18" s="19">
        <f t="shared" ref="L18:L27" si="2">+D18-H18</f>
        <v>-14357.621307692309</v>
      </c>
      <c r="M18" s="4"/>
      <c r="N18" s="30">
        <f t="shared" ref="N18:N27" si="3">IF(H18=0,0,L18/H18)</f>
        <v>-0.99749889209737919</v>
      </c>
      <c r="O18" s="10"/>
      <c r="P18" s="19">
        <f>SUM(OSRRefP22x_0)</f>
        <v>2494.4299999999998</v>
      </c>
      <c r="Q18" s="19"/>
      <c r="R18" s="30">
        <f t="shared" ref="R18:R27" si="4">IF(P$12=0,0,P18/P$12)</f>
        <v>0</v>
      </c>
      <c r="S18" s="19"/>
      <c r="T18" s="19">
        <f>SUM(OSRRefT22x_0)</f>
        <v>35020.647942307682</v>
      </c>
      <c r="U18" s="19"/>
      <c r="V18" s="30">
        <f t="shared" ref="V18:V27" si="5">IF(T$12=0,0,T18/T$12)</f>
        <v>0</v>
      </c>
      <c r="W18" s="4"/>
      <c r="X18" s="19">
        <f t="shared" ref="X18:X27" si="6">+P18-T18</f>
        <v>-32526.217942307681</v>
      </c>
      <c r="Y18" s="4"/>
      <c r="Z18" s="30">
        <f t="shared" ref="Z18:Z27" si="7">IF(T18=0,0,X18/T18)</f>
        <v>-0.92877259141209279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9455.455634615395</v>
      </c>
      <c r="U19" s="1"/>
      <c r="V19" s="5">
        <f t="shared" si="5"/>
        <v>0</v>
      </c>
      <c r="W19" s="1"/>
      <c r="X19" s="1">
        <f t="shared" si="6"/>
        <v>-6976.7256346153954</v>
      </c>
      <c r="Y19" s="1"/>
      <c r="Z19" s="5">
        <f t="shared" si="7"/>
        <v>-0.73785187136560204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847.12823076923098</v>
      </c>
      <c r="I20" s="2"/>
      <c r="J20" s="7">
        <f t="shared" si="1"/>
        <v>0</v>
      </c>
      <c r="K20" s="2"/>
      <c r="L20" s="6">
        <f t="shared" si="2"/>
        <v>-847.12823076923098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1906.0385192307713</v>
      </c>
      <c r="U20" s="2"/>
      <c r="V20" s="7">
        <f t="shared" si="5"/>
        <v>0</v>
      </c>
      <c r="W20" s="2"/>
      <c r="X20" s="6">
        <f t="shared" si="6"/>
        <v>-1906.0385192307713</v>
      </c>
      <c r="Y20" s="2"/>
      <c r="Z20" s="7">
        <f t="shared" si="7"/>
        <v>-1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36.528461538461499</v>
      </c>
      <c r="I21" s="2"/>
      <c r="J21" s="7">
        <f t="shared" si="1"/>
        <v>0</v>
      </c>
      <c r="K21" s="2"/>
      <c r="L21" s="6">
        <f t="shared" si="2"/>
        <v>-36.528461538461499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82.189038461538402</v>
      </c>
      <c r="U21" s="2"/>
      <c r="V21" s="7">
        <f t="shared" si="5"/>
        <v>0</v>
      </c>
      <c r="W21" s="2"/>
      <c r="X21" s="6">
        <f t="shared" si="6"/>
        <v>-82.189038461538402</v>
      </c>
      <c r="Y21" s="2"/>
      <c r="Z21" s="7">
        <f t="shared" si="7"/>
        <v>-1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1385</v>
      </c>
      <c r="I22" s="2"/>
      <c r="J22" s="7">
        <f t="shared" si="1"/>
        <v>0</v>
      </c>
      <c r="K22" s="2"/>
      <c r="L22" s="6">
        <f t="shared" si="2"/>
        <v>-1385</v>
      </c>
      <c r="M22" s="2"/>
      <c r="N22" s="7">
        <f t="shared" si="3"/>
        <v>-1</v>
      </c>
      <c r="O22" s="11"/>
      <c r="P22" s="6">
        <v>1868.2</v>
      </c>
      <c r="Q22" s="2"/>
      <c r="R22" s="7">
        <f t="shared" si="4"/>
        <v>0</v>
      </c>
      <c r="S22" s="2"/>
      <c r="T22" s="6">
        <v>2770</v>
      </c>
      <c r="U22" s="2"/>
      <c r="V22" s="7">
        <f t="shared" si="5"/>
        <v>0</v>
      </c>
      <c r="W22" s="2"/>
      <c r="X22" s="6">
        <f t="shared" si="6"/>
        <v>-901.8</v>
      </c>
      <c r="Y22" s="2"/>
      <c r="Z22" s="7">
        <f t="shared" si="7"/>
        <v>-0.3255595667870036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28.78</v>
      </c>
      <c r="I23" s="2"/>
      <c r="J23" s="7">
        <f t="shared" si="1"/>
        <v>0</v>
      </c>
      <c r="K23" s="2"/>
      <c r="L23" s="6">
        <f t="shared" si="2"/>
        <v>-28.78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64.754999999999995</v>
      </c>
      <c r="U23" s="2"/>
      <c r="V23" s="7">
        <f t="shared" si="5"/>
        <v>0</v>
      </c>
      <c r="W23" s="2"/>
      <c r="X23" s="6">
        <f t="shared" si="6"/>
        <v>-64.754999999999995</v>
      </c>
      <c r="Y23" s="2"/>
      <c r="Z23" s="7">
        <f t="shared" si="7"/>
        <v>-1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951.95384615384592</v>
      </c>
      <c r="I24" s="2"/>
      <c r="J24" s="7">
        <f t="shared" si="1"/>
        <v>0</v>
      </c>
      <c r="K24" s="2"/>
      <c r="L24" s="6">
        <f t="shared" si="2"/>
        <v>-951.95384615384592</v>
      </c>
      <c r="M24" s="2"/>
      <c r="N24" s="7">
        <f t="shared" si="3"/>
        <v>-1</v>
      </c>
      <c r="O24" s="11"/>
      <c r="P24" s="6">
        <v>610.53</v>
      </c>
      <c r="Q24" s="2"/>
      <c r="R24" s="7">
        <f t="shared" si="4"/>
        <v>0</v>
      </c>
      <c r="S24" s="2"/>
      <c r="T24" s="6">
        <v>2141.8961538461563</v>
      </c>
      <c r="U24" s="2"/>
      <c r="V24" s="7">
        <f t="shared" si="5"/>
        <v>0</v>
      </c>
      <c r="W24" s="2"/>
      <c r="X24" s="6">
        <f t="shared" si="6"/>
        <v>-1531.3661538461563</v>
      </c>
      <c r="Y24" s="2"/>
      <c r="Z24" s="7">
        <f t="shared" si="7"/>
        <v>-0.71495816970225912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1106.9230769230799</v>
      </c>
      <c r="I26" s="2"/>
      <c r="J26" s="7">
        <f t="shared" si="1"/>
        <v>0</v>
      </c>
      <c r="K26" s="2"/>
      <c r="L26" s="6">
        <f t="shared" si="2"/>
        <v>-1106.9230769230799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2490.5769230769301</v>
      </c>
      <c r="U26" s="2"/>
      <c r="V26" s="7">
        <f t="shared" si="5"/>
        <v>0</v>
      </c>
      <c r="W26" s="2"/>
      <c r="X26" s="6">
        <f t="shared" si="6"/>
        <v>-2490.5769230769301</v>
      </c>
      <c r="Y26" s="2"/>
      <c r="Z26" s="7">
        <f t="shared" si="7"/>
        <v>-1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9" customFormat="1" outlineLevel="1" collapsed="1" x14ac:dyDescent="0.25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22415.19230769229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-22415.19230769229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9962.3076923076896</v>
      </c>
      <c r="I29" s="2"/>
      <c r="J29" s="7">
        <f t="shared" si="9"/>
        <v>0</v>
      </c>
      <c r="K29" s="2"/>
      <c r="L29" s="6">
        <f t="shared" si="10"/>
        <v>-9962.3076923076896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22415.19230769229</v>
      </c>
      <c r="U29" s="2"/>
      <c r="V29" s="7">
        <f t="shared" si="13"/>
        <v>0</v>
      </c>
      <c r="W29" s="2"/>
      <c r="X29" s="6">
        <f t="shared" si="14"/>
        <v>-22415.19230769229</v>
      </c>
      <c r="Y29" s="2"/>
      <c r="Z29" s="7">
        <f t="shared" si="15"/>
        <v>-1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9" customFormat="1" outlineLevel="1" collapsed="1" x14ac:dyDescent="0.25">
      <c r="A39" s="28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7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3000</v>
      </c>
      <c r="U40" s="2"/>
      <c r="V40" s="7">
        <f t="shared" si="21"/>
        <v>0</v>
      </c>
      <c r="W40" s="2"/>
      <c r="X40" s="6">
        <f t="shared" si="22"/>
        <v>-3000</v>
      </c>
      <c r="Y40" s="2"/>
      <c r="Z40" s="7">
        <f t="shared" si="23"/>
        <v>-1</v>
      </c>
    </row>
    <row r="41" spans="1:26" s="29" customFormat="1" outlineLevel="1" collapsed="1" x14ac:dyDescent="0.25">
      <c r="A41" s="28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7"/>
      <c r="B42" s="11" t="str">
        <f>CONCATENATE("          ", "6282", " - ", "JANITORIAL/EXTERMINATOR EXPENS")</f>
        <v xml:space="preserve">          6282 - JANITORIAL/EXTERMINATOR EXPENS</v>
      </c>
      <c r="C42" s="11"/>
      <c r="D42" s="6"/>
      <c r="E42" s="2"/>
      <c r="F42" s="7">
        <f t="shared" si="16"/>
        <v>0</v>
      </c>
      <c r="G42" s="2"/>
      <c r="H42" s="6">
        <v>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4" customFormat="1" hidden="1" outlineLevel="2" x14ac:dyDescent="0.25">
      <c r="A43" s="27"/>
      <c r="B43" s="11" t="str">
        <f>CONCATENATE("          ", "6285", " - ", "JANITORIAL SERVICES")</f>
        <v xml:space="preserve">          6285 - JANITORIAL SERVICES</v>
      </c>
      <c r="C43" s="11"/>
      <c r="D43" s="6"/>
      <c r="E43" s="2"/>
      <c r="F43" s="7">
        <f t="shared" si="16"/>
        <v>0</v>
      </c>
      <c r="G43" s="2"/>
      <c r="H43" s="6">
        <v>0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0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9" customFormat="1" outlineLevel="1" collapsed="1" x14ac:dyDescent="0.25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4"/>
      <c r="P44" s="1">
        <f>SUM(OSRRefP22_4x_0)</f>
        <v>-56.3</v>
      </c>
      <c r="Q44" s="1"/>
      <c r="R44" s="5">
        <f t="shared" ref="R44:R49" si="28">IF(P$12=0,0,P44/P$12)</f>
        <v>0</v>
      </c>
      <c r="S44" s="1"/>
      <c r="T44" s="1">
        <f>SUM(OSRRefT22_4x_0)</f>
        <v>50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-106.3</v>
      </c>
      <c r="Y44" s="1"/>
      <c r="Z44" s="5">
        <f t="shared" ref="Z44:Z49" si="31">IF(T44=0,0,X44/T44)</f>
        <v>-2.1259999999999999</v>
      </c>
    </row>
    <row r="45" spans="1:26" s="24" customFormat="1" hidden="1" outlineLevel="2" x14ac:dyDescent="0.25">
      <c r="A45" s="27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24"/>
        <v>0</v>
      </c>
      <c r="G45" s="2"/>
      <c r="H45" s="6">
        <v>25</v>
      </c>
      <c r="I45" s="2"/>
      <c r="J45" s="7">
        <f t="shared" si="25"/>
        <v>0</v>
      </c>
      <c r="K45" s="2"/>
      <c r="L45" s="6">
        <f t="shared" si="26"/>
        <v>-25</v>
      </c>
      <c r="M45" s="2"/>
      <c r="N45" s="7">
        <f t="shared" si="27"/>
        <v>-1</v>
      </c>
      <c r="O45" s="11"/>
      <c r="P45" s="6">
        <v>-56.3</v>
      </c>
      <c r="Q45" s="2"/>
      <c r="R45" s="7">
        <f t="shared" si="28"/>
        <v>0</v>
      </c>
      <c r="S45" s="2"/>
      <c r="T45" s="6">
        <v>50</v>
      </c>
      <c r="U45" s="2"/>
      <c r="V45" s="7">
        <f t="shared" si="29"/>
        <v>0</v>
      </c>
      <c r="W45" s="2"/>
      <c r="X45" s="6">
        <f t="shared" si="30"/>
        <v>-106.3</v>
      </c>
      <c r="Y45" s="2"/>
      <c r="Z45" s="7">
        <f t="shared" si="31"/>
        <v>-2.1259999999999999</v>
      </c>
    </row>
    <row r="46" spans="1:26" s="29" customFormat="1" outlineLevel="1" collapsed="1" x14ac:dyDescent="0.25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36</v>
      </c>
      <c r="E46" s="1"/>
      <c r="F46" s="5">
        <f t="shared" si="24"/>
        <v>0</v>
      </c>
      <c r="G46" s="1"/>
      <c r="H46" s="1">
        <f>SUM(OSRRefH22_5x_0)</f>
        <v>50</v>
      </c>
      <c r="I46" s="1"/>
      <c r="J46" s="5">
        <f t="shared" si="25"/>
        <v>0</v>
      </c>
      <c r="K46" s="1"/>
      <c r="L46" s="1">
        <f t="shared" si="26"/>
        <v>-14</v>
      </c>
      <c r="M46" s="1"/>
      <c r="N46" s="5">
        <f t="shared" si="27"/>
        <v>-0.28000000000000003</v>
      </c>
      <c r="O46" s="14"/>
      <c r="P46" s="1">
        <f>SUM(OSRRefP22_5x_0)</f>
        <v>72</v>
      </c>
      <c r="Q46" s="1"/>
      <c r="R46" s="5">
        <f t="shared" si="28"/>
        <v>0</v>
      </c>
      <c r="S46" s="1"/>
      <c r="T46" s="1">
        <f>SUM(OSRRefT22_5x_0)</f>
        <v>100</v>
      </c>
      <c r="U46" s="1"/>
      <c r="V46" s="5">
        <f t="shared" si="29"/>
        <v>0</v>
      </c>
      <c r="W46" s="1"/>
      <c r="X46" s="1">
        <f t="shared" si="30"/>
        <v>-28</v>
      </c>
      <c r="Y46" s="1"/>
      <c r="Z46" s="5">
        <f t="shared" si="31"/>
        <v>-0.28000000000000003</v>
      </c>
    </row>
    <row r="47" spans="1:26" s="24" customFormat="1" hidden="1" outlineLevel="2" x14ac:dyDescent="0.25">
      <c r="A47" s="27"/>
      <c r="B47" s="11" t="str">
        <f>CONCATENATE("          ", "6309", " - ", "TELEPHONE")</f>
        <v xml:space="preserve">          6309 - TELEPHONE</v>
      </c>
      <c r="C47" s="11"/>
      <c r="D47" s="6">
        <v>36</v>
      </c>
      <c r="E47" s="2"/>
      <c r="F47" s="7">
        <f t="shared" si="24"/>
        <v>0</v>
      </c>
      <c r="G47" s="2"/>
      <c r="H47" s="6">
        <v>50</v>
      </c>
      <c r="I47" s="2"/>
      <c r="J47" s="7">
        <f t="shared" si="25"/>
        <v>0</v>
      </c>
      <c r="K47" s="2"/>
      <c r="L47" s="6">
        <f t="shared" si="26"/>
        <v>-14</v>
      </c>
      <c r="M47" s="2"/>
      <c r="N47" s="7">
        <f t="shared" si="27"/>
        <v>-0.28000000000000003</v>
      </c>
      <c r="O47" s="11"/>
      <c r="P47" s="6">
        <v>72</v>
      </c>
      <c r="Q47" s="2"/>
      <c r="R47" s="7">
        <f t="shared" si="28"/>
        <v>0</v>
      </c>
      <c r="S47" s="2"/>
      <c r="T47" s="6">
        <v>100</v>
      </c>
      <c r="U47" s="2"/>
      <c r="V47" s="7">
        <f t="shared" si="29"/>
        <v>0</v>
      </c>
      <c r="W47" s="2"/>
      <c r="X47" s="6">
        <f t="shared" si="30"/>
        <v>-28</v>
      </c>
      <c r="Y47" s="2"/>
      <c r="Z47" s="7">
        <f t="shared" si="31"/>
        <v>-0.28000000000000003</v>
      </c>
    </row>
    <row r="48" spans="1:26" s="29" customFormat="1" outlineLevel="1" collapsed="1" x14ac:dyDescent="0.25">
      <c r="A48" s="28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7"/>
      <c r="B49" s="11" t="str">
        <f>CONCATENATE("          ", "6274", " - ", "UTILITIES")</f>
        <v xml:space="preserve">          6274 - UTILITIES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0</v>
      </c>
      <c r="U49" s="2"/>
      <c r="V49" s="7">
        <f t="shared" si="29"/>
        <v>0</v>
      </c>
      <c r="W49" s="2"/>
      <c r="X49" s="6">
        <f t="shared" si="30"/>
        <v>0</v>
      </c>
      <c r="Y49" s="2"/>
      <c r="Z49" s="7">
        <f t="shared" si="31"/>
        <v>0</v>
      </c>
    </row>
    <row r="50" spans="1:26" s="61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2" customFormat="1" collapsed="1" x14ac:dyDescent="0.25">
      <c r="A51" s="10"/>
      <c r="B51" s="25" t="s">
        <v>0</v>
      </c>
      <c r="C51" s="10"/>
      <c r="D51" s="4">
        <f>SUM(OSRRefD25x_0)</f>
        <v>0</v>
      </c>
      <c r="E51" s="4"/>
      <c r="F51" s="12">
        <f t="shared" ref="F51:F52" si="32">IF(D$12=0,0,D51/D$12)</f>
        <v>0</v>
      </c>
      <c r="G51" s="4"/>
      <c r="H51" s="4">
        <f>SUM(OSRRefH25x_0)</f>
        <v>0</v>
      </c>
      <c r="I51" s="4"/>
      <c r="J51" s="12">
        <f t="shared" ref="J51:J52" si="33">IF(H$12=0,0,H51/H$12)</f>
        <v>0</v>
      </c>
      <c r="K51" s="4"/>
      <c r="L51" s="4">
        <f t="shared" ref="L51:L52" si="34">+D51-H51</f>
        <v>0</v>
      </c>
      <c r="M51" s="4"/>
      <c r="N51" s="12">
        <f t="shared" ref="N51:N52" si="35">IF(H51=0,0,L51/H51)</f>
        <v>0</v>
      </c>
      <c r="O51" s="10"/>
      <c r="P51" s="4">
        <f>SUM(OSRRefP25x_0)</f>
        <v>0</v>
      </c>
      <c r="Q51" s="4"/>
      <c r="R51" s="12">
        <f t="shared" ref="R51:R52" si="36">IF(P$12=0,0,P51/P$12)</f>
        <v>0</v>
      </c>
      <c r="S51" s="4"/>
      <c r="T51" s="4">
        <f>SUM(OSRRefT25x_0)</f>
        <v>0</v>
      </c>
      <c r="U51" s="4"/>
      <c r="V51" s="12">
        <f t="shared" ref="V51:V52" si="37">IF(T$12=0,0,T51/T$12)</f>
        <v>0</v>
      </c>
      <c r="W51" s="4"/>
      <c r="X51" s="4">
        <f t="shared" ref="X51:X52" si="38">+P51-T51</f>
        <v>0</v>
      </c>
      <c r="Y51" s="4"/>
      <c r="Z51" s="12">
        <f t="shared" ref="Z51:Z52" si="39">IF(T51=0,0,X51/T51)</f>
        <v>0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>0</f>
        <v>0</v>
      </c>
      <c r="E52" s="2"/>
      <c r="F52" s="23">
        <f t="shared" si="32"/>
        <v>0</v>
      </c>
      <c r="G52" s="2"/>
      <c r="H52" s="2">
        <v>0</v>
      </c>
      <c r="I52" s="2"/>
      <c r="J52" s="23">
        <f t="shared" si="33"/>
        <v>0</v>
      </c>
      <c r="K52" s="2"/>
      <c r="L52" s="2">
        <f t="shared" si="34"/>
        <v>0</v>
      </c>
      <c r="M52" s="2"/>
      <c r="N52" s="23">
        <f t="shared" si="35"/>
        <v>0</v>
      </c>
      <c r="O52" s="11"/>
      <c r="P52" s="2">
        <f>0</f>
        <v>0</v>
      </c>
      <c r="Q52" s="2"/>
      <c r="R52" s="23">
        <f t="shared" si="36"/>
        <v>0</v>
      </c>
      <c r="S52" s="2"/>
      <c r="T52" s="2">
        <v>0</v>
      </c>
      <c r="U52" s="2"/>
      <c r="V52" s="23">
        <f t="shared" si="37"/>
        <v>0</v>
      </c>
      <c r="W52" s="2"/>
      <c r="X52" s="2">
        <f t="shared" si="38"/>
        <v>0</v>
      </c>
      <c r="Y52" s="2"/>
      <c r="Z52" s="23">
        <f t="shared" si="39"/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2" customFormat="1" x14ac:dyDescent="0.25">
      <c r="A54" s="10"/>
      <c r="B54" s="26" t="s">
        <v>3</v>
      </c>
      <c r="C54" s="26"/>
      <c r="D54" s="21">
        <f>+D16-D18+D51</f>
        <v>-36</v>
      </c>
      <c r="E54" s="13"/>
      <c r="F54" s="20">
        <f>IF(D$12=0,0,D54/D$12)</f>
        <v>0</v>
      </c>
      <c r="G54" s="13"/>
      <c r="H54" s="21">
        <f>+H16-H18+H51</f>
        <v>-14393.621307692309</v>
      </c>
      <c r="I54" s="13"/>
      <c r="J54" s="20">
        <f>IF(H$12=0,0,H54/H$12)</f>
        <v>0</v>
      </c>
      <c r="K54" s="16"/>
      <c r="L54" s="21">
        <f>+D54-H54</f>
        <v>14357.621307692309</v>
      </c>
      <c r="M54" s="16"/>
      <c r="N54" s="20">
        <f>IF(H54=0,0,L54/H54)</f>
        <v>-0.99749889209737919</v>
      </c>
      <c r="O54" s="25"/>
      <c r="P54" s="21">
        <f>+P16-P18+P51</f>
        <v>-2494.4299999999998</v>
      </c>
      <c r="Q54" s="13"/>
      <c r="R54" s="20">
        <f>IF(P$12=0,0,P54/P$12)</f>
        <v>0</v>
      </c>
      <c r="S54" s="13"/>
      <c r="T54" s="21">
        <f>+T16-T18+T51</f>
        <v>-35020.647942307682</v>
      </c>
      <c r="U54" s="13"/>
      <c r="V54" s="20">
        <f>IF(T$12=0,0,T54/T$12)</f>
        <v>0</v>
      </c>
      <c r="W54" s="16"/>
      <c r="X54" s="21">
        <f>+P54-T54</f>
        <v>32526.217942307681</v>
      </c>
      <c r="Y54" s="16"/>
      <c r="Z54" s="20">
        <f>IF(T54=0,0,X54/T54)</f>
        <v>-0.92877259141209279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2" customFormat="1" x14ac:dyDescent="0.25">
      <c r="A56" s="52"/>
      <c r="B56" s="10" t="s">
        <v>14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2" customFormat="1" ht="15.75" thickBot="1" x14ac:dyDescent="0.3">
      <c r="A58" s="10"/>
      <c r="B58" s="26" t="s">
        <v>4</v>
      </c>
      <c r="C58" s="26"/>
      <c r="D58" s="33">
        <f>+D54-D56</f>
        <v>-36</v>
      </c>
      <c r="E58" s="13"/>
      <c r="F58" s="31">
        <f>IF(D$12=0,0,D58/D$12)</f>
        <v>0</v>
      </c>
      <c r="G58" s="13"/>
      <c r="H58" s="33">
        <f>+H54-H56</f>
        <v>-14393.621307692309</v>
      </c>
      <c r="I58" s="13"/>
      <c r="J58" s="31">
        <f>IF(H$12=0,0,H58/H$12)</f>
        <v>0</v>
      </c>
      <c r="K58" s="16"/>
      <c r="L58" s="33">
        <f>D58-H58</f>
        <v>14357.621307692309</v>
      </c>
      <c r="M58" s="16"/>
      <c r="N58" s="31">
        <f>IF(H58=0,0,L58/H58)</f>
        <v>-0.99749889209737919</v>
      </c>
      <c r="O58" s="25"/>
      <c r="P58" s="33">
        <f>+P54-P56</f>
        <v>-2494.4299999999998</v>
      </c>
      <c r="Q58" s="13"/>
      <c r="R58" s="31">
        <f>IF(P$12=0,0,P58/P$12)</f>
        <v>0</v>
      </c>
      <c r="S58" s="13"/>
      <c r="T58" s="33">
        <f>+T54-T56</f>
        <v>-35020.647942307682</v>
      </c>
      <c r="U58" s="13"/>
      <c r="V58" s="31">
        <f>IF(T$12=0,0,T58/T$12)</f>
        <v>0</v>
      </c>
      <c r="W58" s="16"/>
      <c r="X58" s="33">
        <f>P58-T58</f>
        <v>32526.217942307681</v>
      </c>
      <c r="Y58" s="16"/>
      <c r="Z58" s="31">
        <f>IF(T58=0,0,X58/T58)</f>
        <v>-0.92877259141209279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2" customFormat="1" ht="15.75" thickBot="1" x14ac:dyDescent="0.3">
      <c r="A61" s="10"/>
      <c r="B61" s="26" t="s">
        <v>5</v>
      </c>
      <c r="C61" s="26"/>
      <c r="D61" s="32">
        <f>SUM(D58:D60)</f>
        <v>-36</v>
      </c>
      <c r="E61" s="13"/>
      <c r="F61" s="35">
        <f>IF(D$12=0,0,D61/D$12)</f>
        <v>0</v>
      </c>
      <c r="G61" s="13"/>
      <c r="H61" s="32">
        <f>SUM(H58:H60)</f>
        <v>-14393.621307692309</v>
      </c>
      <c r="I61" s="13"/>
      <c r="J61" s="35">
        <f>IF(H$12=0,0,H61/H$12)</f>
        <v>0</v>
      </c>
      <c r="K61" s="16"/>
      <c r="L61" s="32">
        <f>+D61-H61</f>
        <v>14357.621307692309</v>
      </c>
      <c r="M61" s="16"/>
      <c r="N61" s="35">
        <f>IF(H61=0,0,L61/H61)</f>
        <v>-0.99749889209737919</v>
      </c>
      <c r="O61" s="25"/>
      <c r="P61" s="32">
        <f>SUM(P58:P60)</f>
        <v>-2494.4299999999998</v>
      </c>
      <c r="Q61" s="13"/>
      <c r="R61" s="35">
        <f>IF(P$12=0,0,P61/P$12)</f>
        <v>0</v>
      </c>
      <c r="S61" s="13"/>
      <c r="T61" s="32">
        <f>SUM(T58:T60)</f>
        <v>-35020.647942307682</v>
      </c>
      <c r="U61" s="13"/>
      <c r="V61" s="35">
        <f>IF(T$12=0,0,T61/T$12)</f>
        <v>0</v>
      </c>
      <c r="W61" s="16"/>
      <c r="X61" s="32">
        <f>+P61-T61</f>
        <v>32526.217942307681</v>
      </c>
      <c r="Y61" s="16"/>
      <c r="Z61" s="35">
        <f>IF(T61=0,0,X61/T61)</f>
        <v>-0.92877259141209279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9">
        <v>44113.689949733794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2" t="s">
        <v>314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3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","424", " - ", "Blair Field")</f>
        <v>Department 424 - Blair Field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771.89</v>
      </c>
      <c r="E18" s="19"/>
      <c r="F18" s="30">
        <f t="shared" ref="F18:F26" si="0">IF(D$12=0,0,D18/D$12)</f>
        <v>0</v>
      </c>
      <c r="G18" s="19"/>
      <c r="H18" s="19">
        <f>SUM(OSRRefH22x_0)</f>
        <v>479</v>
      </c>
      <c r="I18" s="19"/>
      <c r="J18" s="30">
        <f t="shared" ref="J18:J26" si="1">IF(H$12=0,0,H18/H$12)</f>
        <v>0</v>
      </c>
      <c r="K18" s="4"/>
      <c r="L18" s="19">
        <f t="shared" ref="L18:L26" si="2">+D18-H18</f>
        <v>292.89</v>
      </c>
      <c r="M18" s="4"/>
      <c r="N18" s="30">
        <f t="shared" ref="N18:N26" si="3">IF(H18=0,0,L18/H18)</f>
        <v>0.61146137787056365</v>
      </c>
      <c r="O18" s="10"/>
      <c r="P18" s="19">
        <f>SUM(OSRRefP22x_0)</f>
        <v>1984.74</v>
      </c>
      <c r="Q18" s="19"/>
      <c r="R18" s="30">
        <f t="shared" ref="R18:R26" si="4">IF(P$12=0,0,P18/P$12)</f>
        <v>0</v>
      </c>
      <c r="S18" s="19"/>
      <c r="T18" s="19">
        <f>SUM(OSRRefT22x_0)</f>
        <v>958</v>
      </c>
      <c r="U18" s="19"/>
      <c r="V18" s="30">
        <f t="shared" ref="V18:V26" si="5">IF(T$12=0,0,T18/T$12)</f>
        <v>0</v>
      </c>
      <c r="W18" s="4"/>
      <c r="X18" s="19">
        <f t="shared" ref="X18:X26" si="6">+P18-T18</f>
        <v>1026.74</v>
      </c>
      <c r="Y18" s="4"/>
      <c r="Z18" s="30">
        <f t="shared" ref="Z18:Z26" si="7">IF(T18=0,0,X18/T18)</f>
        <v>1.0717536534446763</v>
      </c>
    </row>
    <row r="19" spans="1:26" s="29" customFormat="1" outlineLevel="1" collapsed="1" x14ac:dyDescent="0.25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958.58</v>
      </c>
      <c r="Q19" s="1"/>
      <c r="R19" s="5">
        <f t="shared" si="4"/>
        <v>0</v>
      </c>
      <c r="S19" s="1"/>
      <c r="T19" s="1">
        <f>SUM(OSRRefT22_0x_0)</f>
        <v>958</v>
      </c>
      <c r="U19" s="1"/>
      <c r="V19" s="5">
        <f t="shared" si="5"/>
        <v>0</v>
      </c>
      <c r="W19" s="1"/>
      <c r="X19" s="1">
        <f t="shared" si="6"/>
        <v>0.58000000000004093</v>
      </c>
      <c r="Y19" s="1"/>
      <c r="Z19" s="5">
        <f t="shared" si="7"/>
        <v>6.054279749478506E-4</v>
      </c>
    </row>
    <row r="20" spans="1:26" s="24" customFormat="1" hidden="1" outlineLevel="2" x14ac:dyDescent="0.25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958.58</v>
      </c>
      <c r="Q20" s="2"/>
      <c r="R20" s="7">
        <f t="shared" si="4"/>
        <v>0</v>
      </c>
      <c r="S20" s="2"/>
      <c r="T20" s="6">
        <v>958</v>
      </c>
      <c r="U20" s="2"/>
      <c r="V20" s="7">
        <f t="shared" si="5"/>
        <v>0</v>
      </c>
      <c r="W20" s="2"/>
      <c r="X20" s="6">
        <f t="shared" si="6"/>
        <v>0.58000000000004093</v>
      </c>
      <c r="Y20" s="2"/>
      <c r="Z20" s="7">
        <f t="shared" si="7"/>
        <v>6.054279749478506E-4</v>
      </c>
    </row>
    <row r="21" spans="1:26" s="29" customFormat="1" outlineLevel="1" collapsed="1" x14ac:dyDescent="0.25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519.54999999999995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519.54999999999995</v>
      </c>
      <c r="Y21" s="1"/>
      <c r="Z21" s="5">
        <f t="shared" si="7"/>
        <v>0</v>
      </c>
    </row>
    <row r="22" spans="1:26" s="24" customFormat="1" hidden="1" outlineLevel="2" x14ac:dyDescent="0.25">
      <c r="A22" s="27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519.54999999999995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519.54999999999995</v>
      </c>
      <c r="Y22" s="2"/>
      <c r="Z22" s="7">
        <f t="shared" si="7"/>
        <v>0</v>
      </c>
    </row>
    <row r="23" spans="1:26" s="29" customFormat="1" outlineLevel="1" collapsed="1" x14ac:dyDescent="0.25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78.599999999999994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78.599999999999994</v>
      </c>
      <c r="M23" s="1"/>
      <c r="N23" s="5">
        <f t="shared" si="3"/>
        <v>0</v>
      </c>
      <c r="O23" s="14"/>
      <c r="P23" s="1">
        <f>SUM(OSRRefP22_2x_0)</f>
        <v>78.599999999999994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78.599999999999994</v>
      </c>
      <c r="Y23" s="1"/>
      <c r="Z23" s="5">
        <f t="shared" si="7"/>
        <v>0</v>
      </c>
    </row>
    <row r="24" spans="1:26" s="24" customFormat="1" hidden="1" outlineLevel="2" x14ac:dyDescent="0.25">
      <c r="A24" s="27"/>
      <c r="B24" s="11" t="str">
        <f>CONCATENATE("          ", "6373", " - ", "MAINTENANCE CONTRACTS")</f>
        <v xml:space="preserve">          6373 - MAINTENANCE CONTRACTS</v>
      </c>
      <c r="C24" s="11"/>
      <c r="D24" s="6">
        <v>78.599999999999994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78.599999999999994</v>
      </c>
      <c r="M24" s="2"/>
      <c r="N24" s="7">
        <f t="shared" si="3"/>
        <v>0</v>
      </c>
      <c r="O24" s="11"/>
      <c r="P24" s="6">
        <v>78.599999999999994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78.599999999999994</v>
      </c>
      <c r="Y24" s="2"/>
      <c r="Z24" s="7">
        <f t="shared" si="7"/>
        <v>0</v>
      </c>
    </row>
    <row r="25" spans="1:26" s="29" customFormat="1" outlineLevel="1" collapsed="1" x14ac:dyDescent="0.25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214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214</v>
      </c>
      <c r="M25" s="1"/>
      <c r="N25" s="5">
        <f t="shared" si="3"/>
        <v>0</v>
      </c>
      <c r="O25" s="14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7"/>
      <c r="B26" s="11" t="str">
        <f>CONCATENATE("          ", "6309", " - ", "TELEPHONE")</f>
        <v xml:space="preserve">          6309 - TELEPHONE</v>
      </c>
      <c r="C26" s="11"/>
      <c r="D26" s="6">
        <v>214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214</v>
      </c>
      <c r="M26" s="2"/>
      <c r="N26" s="7">
        <f t="shared" si="3"/>
        <v>0</v>
      </c>
      <c r="O26" s="11"/>
      <c r="P26" s="6">
        <v>428.01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428.01</v>
      </c>
      <c r="Y26" s="2"/>
      <c r="Z26" s="7">
        <f t="shared" si="7"/>
        <v>0</v>
      </c>
    </row>
    <row r="27" spans="1:26" s="61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2" customFormat="1" x14ac:dyDescent="0.2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2" customFormat="1" x14ac:dyDescent="0.25">
      <c r="A30" s="10"/>
      <c r="B30" s="26" t="s">
        <v>3</v>
      </c>
      <c r="C30" s="26"/>
      <c r="D30" s="21">
        <f>+D16-D18+D28</f>
        <v>-771.89</v>
      </c>
      <c r="E30" s="13"/>
      <c r="F30" s="20">
        <f>IF(D$12=0,0,D30/D$12)</f>
        <v>0</v>
      </c>
      <c r="G30" s="13"/>
      <c r="H30" s="21">
        <f>+H16-H18+H28</f>
        <v>-479</v>
      </c>
      <c r="I30" s="13"/>
      <c r="J30" s="20">
        <f>IF(H$12=0,0,H30/H$12)</f>
        <v>0</v>
      </c>
      <c r="K30" s="16"/>
      <c r="L30" s="21">
        <f>+D30-H30</f>
        <v>-292.89</v>
      </c>
      <c r="M30" s="16"/>
      <c r="N30" s="20">
        <f>IF(H30=0,0,L30/H30)</f>
        <v>0.61146137787056365</v>
      </c>
      <c r="O30" s="25"/>
      <c r="P30" s="21">
        <f>+P16-P18+P28</f>
        <v>-1984.74</v>
      </c>
      <c r="Q30" s="13"/>
      <c r="R30" s="20">
        <f>IF(P$12=0,0,P30/P$12)</f>
        <v>0</v>
      </c>
      <c r="S30" s="13"/>
      <c r="T30" s="21">
        <f>+T16-T18+T28</f>
        <v>-958</v>
      </c>
      <c r="U30" s="13"/>
      <c r="V30" s="20">
        <f>IF(T$12=0,0,T30/T$12)</f>
        <v>0</v>
      </c>
      <c r="W30" s="16"/>
      <c r="X30" s="21">
        <f>+P30-T30</f>
        <v>-1026.74</v>
      </c>
      <c r="Y30" s="16"/>
      <c r="Z30" s="20">
        <f>IF(T30=0,0,X30/T30)</f>
        <v>1.0717536534446763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2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2" customFormat="1" ht="15.75" thickBot="1" x14ac:dyDescent="0.3">
      <c r="A34" s="10"/>
      <c r="B34" s="26" t="s">
        <v>4</v>
      </c>
      <c r="C34" s="26"/>
      <c r="D34" s="33">
        <f>+D30-D32</f>
        <v>-771.89</v>
      </c>
      <c r="E34" s="13"/>
      <c r="F34" s="31">
        <f>IF(D$12=0,0,D34/D$12)</f>
        <v>0</v>
      </c>
      <c r="G34" s="13"/>
      <c r="H34" s="33">
        <f>+H30-H32</f>
        <v>-479</v>
      </c>
      <c r="I34" s="13"/>
      <c r="J34" s="31">
        <f>IF(H$12=0,0,H34/H$12)</f>
        <v>0</v>
      </c>
      <c r="K34" s="16"/>
      <c r="L34" s="33">
        <f>D34-H34</f>
        <v>-292.89</v>
      </c>
      <c r="M34" s="16"/>
      <c r="N34" s="31">
        <f>IF(H34=0,0,L34/H34)</f>
        <v>0.61146137787056365</v>
      </c>
      <c r="O34" s="25"/>
      <c r="P34" s="33">
        <f>+P30-P32</f>
        <v>-1984.74</v>
      </c>
      <c r="Q34" s="13"/>
      <c r="R34" s="31">
        <f>IF(P$12=0,0,P34/P$12)</f>
        <v>0</v>
      </c>
      <c r="S34" s="13"/>
      <c r="T34" s="33">
        <f>+T30-T32</f>
        <v>-958</v>
      </c>
      <c r="U34" s="13"/>
      <c r="V34" s="31">
        <f>IF(T$12=0,0,T34/T$12)</f>
        <v>0</v>
      </c>
      <c r="W34" s="16"/>
      <c r="X34" s="33">
        <f>P34-T34</f>
        <v>-1026.74</v>
      </c>
      <c r="Y34" s="16"/>
      <c r="Z34" s="31">
        <f>IF(T34=0,0,X34/T34)</f>
        <v>1.0717536534446763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2" customFormat="1" ht="15.75" thickBot="1" x14ac:dyDescent="0.3">
      <c r="A37" s="10"/>
      <c r="B37" s="26" t="s">
        <v>5</v>
      </c>
      <c r="C37" s="26"/>
      <c r="D37" s="32">
        <f>SUM(D34:D36)</f>
        <v>-771.89</v>
      </c>
      <c r="E37" s="13"/>
      <c r="F37" s="35">
        <f>IF(D$12=0,0,D37/D$12)</f>
        <v>0</v>
      </c>
      <c r="G37" s="13"/>
      <c r="H37" s="32">
        <f>SUM(H34:H36)</f>
        <v>-479</v>
      </c>
      <c r="I37" s="13"/>
      <c r="J37" s="35">
        <f>IF(H$12=0,0,H37/H$12)</f>
        <v>0</v>
      </c>
      <c r="K37" s="16"/>
      <c r="L37" s="32">
        <f>+D37-H37</f>
        <v>-292.89</v>
      </c>
      <c r="M37" s="16"/>
      <c r="N37" s="35">
        <f>IF(H37=0,0,L37/H37)</f>
        <v>0.61146137787056365</v>
      </c>
      <c r="O37" s="25"/>
      <c r="P37" s="32">
        <f>SUM(P34:P36)</f>
        <v>-1984.74</v>
      </c>
      <c r="Q37" s="13"/>
      <c r="R37" s="35">
        <f>IF(P$12=0,0,P37/P$12)</f>
        <v>0</v>
      </c>
      <c r="S37" s="13"/>
      <c r="T37" s="32">
        <f>SUM(T34:T36)</f>
        <v>-958</v>
      </c>
      <c r="U37" s="13"/>
      <c r="V37" s="35">
        <f>IF(T$12=0,0,T37/T$12)</f>
        <v>0</v>
      </c>
      <c r="W37" s="16"/>
      <c r="X37" s="32">
        <f>+P37-T37</f>
        <v>-1026.74</v>
      </c>
      <c r="Y37" s="16"/>
      <c r="Z37" s="35">
        <f>IF(T37=0,0,X37/T37)</f>
        <v>1.0717536534446763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9">
        <v>44113.689966006947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2" t="s">
        <v>314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63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","425", " - ", "Events Center")</f>
        <v>Department 425 - Events Center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1292.71</v>
      </c>
      <c r="E18" s="19"/>
      <c r="F18" s="30">
        <f t="shared" ref="F18:F24" si="0">IF(D$12=0,0,D18/D$12)</f>
        <v>0</v>
      </c>
      <c r="G18" s="19"/>
      <c r="H18" s="19">
        <f>SUM(OSRRefH22x_0)</f>
        <v>1001</v>
      </c>
      <c r="I18" s="19"/>
      <c r="J18" s="30">
        <f t="shared" ref="J18:J24" si="1">IF(H$12=0,0,H18/H$12)</f>
        <v>0</v>
      </c>
      <c r="K18" s="4"/>
      <c r="L18" s="19">
        <f t="shared" ref="L18:L24" si="2">+D18-H18</f>
        <v>291.71000000000004</v>
      </c>
      <c r="M18" s="4"/>
      <c r="N18" s="30">
        <f t="shared" ref="N18:N24" si="3">IF(H18=0,0,L18/H18)</f>
        <v>0.29141858141858146</v>
      </c>
      <c r="O18" s="10"/>
      <c r="P18" s="19">
        <f>SUM(OSRRefP22x_0)</f>
        <v>5147.9799999999996</v>
      </c>
      <c r="Q18" s="19"/>
      <c r="R18" s="30">
        <f t="shared" ref="R18:R24" si="4">IF(P$12=0,0,P18/P$12)</f>
        <v>0</v>
      </c>
      <c r="S18" s="19"/>
      <c r="T18" s="19">
        <f>SUM(OSRRefT22x_0)</f>
        <v>2002</v>
      </c>
      <c r="U18" s="19"/>
      <c r="V18" s="30">
        <f t="shared" ref="V18:V24" si="5">IF(T$12=0,0,T18/T$12)</f>
        <v>0</v>
      </c>
      <c r="W18" s="4"/>
      <c r="X18" s="19">
        <f t="shared" ref="X18:X24" si="6">+P18-T18</f>
        <v>3145.9799999999996</v>
      </c>
      <c r="Y18" s="4"/>
      <c r="Z18" s="30">
        <f t="shared" ref="Z18:Z24" si="7">IF(T18=0,0,X18/T18)</f>
        <v>1.5714185814185813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1419.75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1419.75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170.79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170.79</v>
      </c>
      <c r="Y20" s="2"/>
      <c r="Z20" s="7">
        <f t="shared" si="7"/>
        <v>0</v>
      </c>
    </row>
    <row r="21" spans="1:26" s="24" customFormat="1" hidden="1" outlineLevel="2" x14ac:dyDescent="0.25">
      <c r="A21" s="27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699.3</v>
      </c>
      <c r="Q21" s="2"/>
      <c r="R21" s="7">
        <f t="shared" si="4"/>
        <v>0</v>
      </c>
      <c r="S21" s="2"/>
      <c r="T21" s="6"/>
      <c r="U21" s="2"/>
      <c r="V21" s="7">
        <f t="shared" si="5"/>
        <v>0</v>
      </c>
      <c r="W21" s="2"/>
      <c r="X21" s="6">
        <f t="shared" si="6"/>
        <v>699.3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355.22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355.22</v>
      </c>
      <c r="Y22" s="2"/>
      <c r="Z22" s="7">
        <f t="shared" si="7"/>
        <v>0</v>
      </c>
    </row>
    <row r="23" spans="1:26" s="24" customFormat="1" hidden="1" outlineLevel="2" x14ac:dyDescent="0.25">
      <c r="A23" s="27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>
        <v>88.46</v>
      </c>
      <c r="Q23" s="2"/>
      <c r="R23" s="7">
        <f t="shared" si="4"/>
        <v>0</v>
      </c>
      <c r="S23" s="2"/>
      <c r="T23" s="6"/>
      <c r="U23" s="2"/>
      <c r="V23" s="7">
        <f t="shared" si="5"/>
        <v>0</v>
      </c>
      <c r="W23" s="2"/>
      <c r="X23" s="6">
        <f t="shared" si="6"/>
        <v>88.46</v>
      </c>
      <c r="Y23" s="2"/>
      <c r="Z23" s="7">
        <f t="shared" si="7"/>
        <v>0</v>
      </c>
    </row>
    <row r="24" spans="1:26" s="24" customFormat="1" hidden="1" outlineLevel="2" x14ac:dyDescent="0.25">
      <c r="A24" s="27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105.98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105.98</v>
      </c>
      <c r="Y24" s="2"/>
      <c r="Z24" s="7">
        <f t="shared" si="7"/>
        <v>0</v>
      </c>
    </row>
    <row r="25" spans="1:26" s="29" customFormat="1" outlineLevel="1" collapsed="1" x14ac:dyDescent="0.25">
      <c r="A25" s="28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2" si="8">IF(D$12=0,0,D25/D$12)</f>
        <v>0</v>
      </c>
      <c r="G25" s="1"/>
      <c r="H25" s="1">
        <f>SUM(OSRRefH22_1x_0)</f>
        <v>0</v>
      </c>
      <c r="I25" s="1"/>
      <c r="J25" s="5">
        <f t="shared" ref="J25:J32" si="9">IF(H$12=0,0,H25/H$12)</f>
        <v>0</v>
      </c>
      <c r="K25" s="1"/>
      <c r="L25" s="1">
        <f t="shared" ref="L25:L32" si="10">+D25-H25</f>
        <v>0</v>
      </c>
      <c r="M25" s="1"/>
      <c r="N25" s="5">
        <f t="shared" ref="N25:N32" si="11">IF(H25=0,0,L25/H25)</f>
        <v>0</v>
      </c>
      <c r="O25" s="14"/>
      <c r="P25" s="1">
        <f>SUM(OSRRefP22_1x_0)</f>
        <v>1378.61</v>
      </c>
      <c r="Q25" s="1"/>
      <c r="R25" s="5">
        <f t="shared" ref="R25:R32" si="12">IF(P$12=0,0,P25/P$12)</f>
        <v>0</v>
      </c>
      <c r="S25" s="1"/>
      <c r="T25" s="1">
        <f>SUM(OSRRefT22_1x_0)</f>
        <v>0</v>
      </c>
      <c r="U25" s="1"/>
      <c r="V25" s="5">
        <f t="shared" ref="V25:V32" si="13">IF(T$12=0,0,T25/T$12)</f>
        <v>0</v>
      </c>
      <c r="W25" s="1"/>
      <c r="X25" s="1">
        <f t="shared" ref="X25:X32" si="14">+P25-T25</f>
        <v>1378.61</v>
      </c>
      <c r="Y25" s="1"/>
      <c r="Z25" s="5">
        <f t="shared" ref="Z25:Z32" si="15">IF(T25=0,0,X25/T25)</f>
        <v>0</v>
      </c>
    </row>
    <row r="26" spans="1:26" s="24" customFormat="1" hidden="1" outlineLevel="2" x14ac:dyDescent="0.25">
      <c r="A26" s="27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1378.61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1378.61</v>
      </c>
      <c r="Y26" s="2"/>
      <c r="Z26" s="7">
        <f t="shared" si="15"/>
        <v>0</v>
      </c>
    </row>
    <row r="27" spans="1:26" s="29" customFormat="1" outlineLevel="1" collapsed="1" x14ac:dyDescent="0.25">
      <c r="A27" s="28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2001.82</v>
      </c>
      <c r="Q27" s="1"/>
      <c r="R27" s="5">
        <f t="shared" si="12"/>
        <v>0</v>
      </c>
      <c r="S27" s="1"/>
      <c r="T27" s="1">
        <f>SUM(OSRRefT22_2x_0)</f>
        <v>2002</v>
      </c>
      <c r="U27" s="1"/>
      <c r="V27" s="5">
        <f t="shared" si="13"/>
        <v>0</v>
      </c>
      <c r="W27" s="1"/>
      <c r="X27" s="1">
        <f t="shared" si="14"/>
        <v>-0.18000000000006366</v>
      </c>
      <c r="Y27" s="1"/>
      <c r="Z27" s="5">
        <f t="shared" si="15"/>
        <v>-8.9910089910121704E-5</v>
      </c>
    </row>
    <row r="28" spans="1:26" s="24" customFormat="1" hidden="1" outlineLevel="2" x14ac:dyDescent="0.25">
      <c r="A28" s="27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1000.91</v>
      </c>
      <c r="E28" s="2"/>
      <c r="F28" s="7">
        <f t="shared" si="8"/>
        <v>0</v>
      </c>
      <c r="G28" s="2"/>
      <c r="H28" s="6">
        <v>1001</v>
      </c>
      <c r="I28" s="2"/>
      <c r="J28" s="7">
        <f t="shared" si="9"/>
        <v>0</v>
      </c>
      <c r="K28" s="2"/>
      <c r="L28" s="6">
        <f t="shared" si="10"/>
        <v>-9.0000000000031832E-2</v>
      </c>
      <c r="M28" s="2"/>
      <c r="N28" s="7">
        <f t="shared" si="11"/>
        <v>-8.9910089910121704E-5</v>
      </c>
      <c r="O28" s="11"/>
      <c r="P28" s="6">
        <v>2001.82</v>
      </c>
      <c r="Q28" s="2"/>
      <c r="R28" s="7">
        <f t="shared" si="12"/>
        <v>0</v>
      </c>
      <c r="S28" s="2"/>
      <c r="T28" s="6">
        <v>2002</v>
      </c>
      <c r="U28" s="2"/>
      <c r="V28" s="7">
        <f t="shared" si="13"/>
        <v>0</v>
      </c>
      <c r="W28" s="2"/>
      <c r="X28" s="6">
        <f t="shared" si="14"/>
        <v>-0.18000000000006366</v>
      </c>
      <c r="Y28" s="2"/>
      <c r="Z28" s="7">
        <f t="shared" si="15"/>
        <v>-8.9910089910121704E-5</v>
      </c>
    </row>
    <row r="29" spans="1:26" s="29" customFormat="1" outlineLevel="1" collapsed="1" x14ac:dyDescent="0.25">
      <c r="A29" s="28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235.8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235.8</v>
      </c>
      <c r="M29" s="1"/>
      <c r="N29" s="5">
        <f t="shared" si="11"/>
        <v>0</v>
      </c>
      <c r="O29" s="14"/>
      <c r="P29" s="1">
        <f>SUM(OSRRefP22_3x_0)</f>
        <v>235.8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235.8</v>
      </c>
      <c r="Y29" s="1"/>
      <c r="Z29" s="5">
        <f t="shared" si="15"/>
        <v>0</v>
      </c>
    </row>
    <row r="30" spans="1:26" s="24" customFormat="1" hidden="1" outlineLevel="2" x14ac:dyDescent="0.25">
      <c r="A30" s="27"/>
      <c r="B30" s="11" t="str">
        <f>CONCATENATE("          ", "6373", " - ", "MAINTENANCE CONTRACTS")</f>
        <v xml:space="preserve">          6373 - MAINTENANCE CONTRACTS</v>
      </c>
      <c r="C30" s="11"/>
      <c r="D30" s="6">
        <v>235.8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235.8</v>
      </c>
      <c r="M30" s="2"/>
      <c r="N30" s="7">
        <f t="shared" si="11"/>
        <v>0</v>
      </c>
      <c r="O30" s="11"/>
      <c r="P30" s="6">
        <v>235.8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235.8</v>
      </c>
      <c r="Y30" s="2"/>
      <c r="Z30" s="7">
        <f t="shared" si="15"/>
        <v>0</v>
      </c>
    </row>
    <row r="31" spans="1:26" s="29" customFormat="1" outlineLevel="1" collapsed="1" x14ac:dyDescent="0.25">
      <c r="A31" s="28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SUM(OSRRefD22_4x_0)</f>
        <v>56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56</v>
      </c>
      <c r="M31" s="1"/>
      <c r="N31" s="5">
        <f t="shared" si="11"/>
        <v>0</v>
      </c>
      <c r="O31" s="14"/>
      <c r="P31" s="1">
        <f>SUM(OSRRefP22_4x_0)</f>
        <v>112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112</v>
      </c>
      <c r="Y31" s="1"/>
      <c r="Z31" s="5">
        <f t="shared" si="15"/>
        <v>0</v>
      </c>
    </row>
    <row r="32" spans="1:26" s="24" customFormat="1" hidden="1" outlineLevel="2" x14ac:dyDescent="0.25">
      <c r="A32" s="27"/>
      <c r="B32" s="11" t="str">
        <f>CONCATENATE("          ", "6309", " - ", "TELEPHONE")</f>
        <v xml:space="preserve">          6309 - TELEPHONE</v>
      </c>
      <c r="C32" s="11"/>
      <c r="D32" s="6">
        <v>56</v>
      </c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56</v>
      </c>
      <c r="M32" s="2"/>
      <c r="N32" s="7">
        <f t="shared" si="11"/>
        <v>0</v>
      </c>
      <c r="O32" s="11"/>
      <c r="P32" s="6">
        <v>112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112</v>
      </c>
      <c r="Y32" s="2"/>
      <c r="Z32" s="7">
        <f t="shared" si="15"/>
        <v>0</v>
      </c>
    </row>
    <row r="33" spans="1:26" s="61" customFormat="1" x14ac:dyDescent="0.25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2" customFormat="1" x14ac:dyDescent="0.25">
      <c r="A34" s="10"/>
      <c r="B34" s="25" t="s">
        <v>0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x14ac:dyDescent="0.25">
      <c r="A36" s="10"/>
      <c r="B36" s="26" t="s">
        <v>3</v>
      </c>
      <c r="C36" s="26"/>
      <c r="D36" s="21">
        <f>+D16-D18+D34</f>
        <v>-1292.71</v>
      </c>
      <c r="E36" s="13"/>
      <c r="F36" s="20">
        <f>IF(D$12=0,0,D36/D$12)</f>
        <v>0</v>
      </c>
      <c r="G36" s="13"/>
      <c r="H36" s="21">
        <f>+H16-H18+H34</f>
        <v>-1001</v>
      </c>
      <c r="I36" s="13"/>
      <c r="J36" s="20">
        <f>IF(H$12=0,0,H36/H$12)</f>
        <v>0</v>
      </c>
      <c r="K36" s="16"/>
      <c r="L36" s="21">
        <f>+D36-H36</f>
        <v>-291.71000000000004</v>
      </c>
      <c r="M36" s="16"/>
      <c r="N36" s="20">
        <f>IF(H36=0,0,L36/H36)</f>
        <v>0.29141858141858146</v>
      </c>
      <c r="O36" s="25"/>
      <c r="P36" s="21">
        <f>+P16-P18+P34</f>
        <v>-5147.9799999999996</v>
      </c>
      <c r="Q36" s="13"/>
      <c r="R36" s="20">
        <f>IF(P$12=0,0,P36/P$12)</f>
        <v>0</v>
      </c>
      <c r="S36" s="13"/>
      <c r="T36" s="21">
        <f>+T16-T18+T34</f>
        <v>-2002</v>
      </c>
      <c r="U36" s="13"/>
      <c r="V36" s="20">
        <f>IF(T$12=0,0,T36/T$12)</f>
        <v>0</v>
      </c>
      <c r="W36" s="16"/>
      <c r="X36" s="21">
        <f>+P36-T36</f>
        <v>-3145.9799999999996</v>
      </c>
      <c r="Y36" s="16"/>
      <c r="Z36" s="20">
        <f>IF(T36=0,0,X36/T36)</f>
        <v>1.5714185814185813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2" customFormat="1" x14ac:dyDescent="0.25">
      <c r="A38" s="52"/>
      <c r="B38" s="10" t="s">
        <v>14</v>
      </c>
      <c r="C38" s="10"/>
      <c r="D38" s="4"/>
      <c r="E38" s="4"/>
      <c r="F38" s="12">
        <f>IF(D$12=0,0,D38/D$12)</f>
        <v>0</v>
      </c>
      <c r="G38" s="4"/>
      <c r="H38" s="4"/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/>
      <c r="Q38" s="4"/>
      <c r="R38" s="12">
        <f>IF(P$12=0,0,P38/P$12)</f>
        <v>0</v>
      </c>
      <c r="S38" s="4"/>
      <c r="T38" s="4"/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2" customFormat="1" ht="15.75" thickBot="1" x14ac:dyDescent="0.3">
      <c r="A40" s="10"/>
      <c r="B40" s="26" t="s">
        <v>4</v>
      </c>
      <c r="C40" s="26"/>
      <c r="D40" s="33">
        <f>+D36-D38</f>
        <v>-1292.71</v>
      </c>
      <c r="E40" s="13"/>
      <c r="F40" s="31">
        <f>IF(D$12=0,0,D40/D$12)</f>
        <v>0</v>
      </c>
      <c r="G40" s="13"/>
      <c r="H40" s="33">
        <f>+H36-H38</f>
        <v>-1001</v>
      </c>
      <c r="I40" s="13"/>
      <c r="J40" s="31">
        <f>IF(H$12=0,0,H40/H$12)</f>
        <v>0</v>
      </c>
      <c r="K40" s="16"/>
      <c r="L40" s="33">
        <f>D40-H40</f>
        <v>-291.71000000000004</v>
      </c>
      <c r="M40" s="16"/>
      <c r="N40" s="31">
        <f>IF(H40=0,0,L40/H40)</f>
        <v>0.29141858141858146</v>
      </c>
      <c r="O40" s="25"/>
      <c r="P40" s="33">
        <f>+P36-P38</f>
        <v>-5147.9799999999996</v>
      </c>
      <c r="Q40" s="13"/>
      <c r="R40" s="31">
        <f>IF(P$12=0,0,P40/P$12)</f>
        <v>0</v>
      </c>
      <c r="S40" s="13"/>
      <c r="T40" s="33">
        <f>+T36-T38</f>
        <v>-2002</v>
      </c>
      <c r="U40" s="13"/>
      <c r="V40" s="31">
        <f>IF(T$12=0,0,T40/T$12)</f>
        <v>0</v>
      </c>
      <c r="W40" s="16"/>
      <c r="X40" s="33">
        <f>P40-T40</f>
        <v>-3145.9799999999996</v>
      </c>
      <c r="Y40" s="16"/>
      <c r="Z40" s="31">
        <f>IF(T40=0,0,X40/T40)</f>
        <v>1.5714185814185813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2" customFormat="1" ht="15.75" thickBot="1" x14ac:dyDescent="0.3">
      <c r="A43" s="10"/>
      <c r="B43" s="26" t="s">
        <v>5</v>
      </c>
      <c r="C43" s="26"/>
      <c r="D43" s="32">
        <f>SUM(D40:D42)</f>
        <v>-1292.71</v>
      </c>
      <c r="E43" s="13"/>
      <c r="F43" s="35">
        <f>IF(D$12=0,0,D43/D$12)</f>
        <v>0</v>
      </c>
      <c r="G43" s="13"/>
      <c r="H43" s="32">
        <f>SUM(H40:H42)</f>
        <v>-1001</v>
      </c>
      <c r="I43" s="13"/>
      <c r="J43" s="35">
        <f>IF(H$12=0,0,H43/H$12)</f>
        <v>0</v>
      </c>
      <c r="K43" s="16"/>
      <c r="L43" s="32">
        <f>+D43-H43</f>
        <v>-291.71000000000004</v>
      </c>
      <c r="M43" s="16"/>
      <c r="N43" s="35">
        <f>IF(H43=0,0,L43/H43)</f>
        <v>0.29141858141858146</v>
      </c>
      <c r="O43" s="25"/>
      <c r="P43" s="32">
        <f>SUM(P40:P42)</f>
        <v>-5147.9799999999996</v>
      </c>
      <c r="Q43" s="13"/>
      <c r="R43" s="35">
        <f>IF(P$12=0,0,P43/P$12)</f>
        <v>0</v>
      </c>
      <c r="S43" s="13"/>
      <c r="T43" s="32">
        <f>SUM(T40:T42)</f>
        <v>-2002</v>
      </c>
      <c r="U43" s="13"/>
      <c r="V43" s="35">
        <f>IF(T$12=0,0,T43/T$12)</f>
        <v>0</v>
      </c>
      <c r="W43" s="16"/>
      <c r="X43" s="32">
        <f>+P43-T43</f>
        <v>-3145.9799999999996</v>
      </c>
      <c r="Y43" s="16"/>
      <c r="Z43" s="35">
        <f>IF(T43=0,0,X43/T43)</f>
        <v>1.5714185814185813</v>
      </c>
    </row>
    <row r="44" spans="1:26" ht="15.75" thickTop="1" x14ac:dyDescent="0.25">
      <c r="A44" s="9"/>
      <c r="C44" s="9"/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9">
        <v>44113.689982638891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62" t="s">
        <v>314</v>
      </c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A47" s="9"/>
      <c r="B47" s="63"/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  <row r="48" spans="1:26" x14ac:dyDescent="0.25">
      <c r="D48" s="18"/>
      <c r="E48" s="18"/>
      <c r="G48" s="18"/>
      <c r="H48" s="18"/>
      <c r="I48" s="18"/>
      <c r="J48" s="43"/>
      <c r="K48" s="18"/>
      <c r="L48" s="18"/>
      <c r="M48" s="18"/>
      <c r="P48" s="18"/>
      <c r="Q48" s="18"/>
      <c r="R48" s="43"/>
      <c r="S48" s="18"/>
      <c r="T48" s="18"/>
      <c r="U48" s="18"/>
      <c r="V48" s="43"/>
      <c r="W48" s="18"/>
      <c r="X48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","455", " - ", "Vending")</f>
        <v>Department 455 - Vending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SUM(0)</f>
        <v>0</v>
      </c>
      <c r="E18" s="19"/>
      <c r="F18" s="30">
        <f>IF(D$12=0,0,D18/D$12)</f>
        <v>0</v>
      </c>
      <c r="G18" s="19"/>
      <c r="H18" s="19">
        <f>SUM(0)</f>
        <v>0</v>
      </c>
      <c r="I18" s="19"/>
      <c r="J18" s="30">
        <f>IF(H$12=0,0,H18/H$12)</f>
        <v>0</v>
      </c>
      <c r="K18" s="4"/>
      <c r="L18" s="19">
        <f>+D18-H18</f>
        <v>0</v>
      </c>
      <c r="M18" s="4"/>
      <c r="N18" s="30">
        <f>IF(H18=0,0,L18/H18)</f>
        <v>0</v>
      </c>
      <c r="O18" s="10"/>
      <c r="P18" s="19">
        <f>SUM(0)</f>
        <v>0</v>
      </c>
      <c r="Q18" s="19"/>
      <c r="R18" s="30">
        <f>IF(P$12=0,0,P18/P$12)</f>
        <v>0</v>
      </c>
      <c r="S18" s="19"/>
      <c r="T18" s="19">
        <f>SUM(0)</f>
        <v>0</v>
      </c>
      <c r="U18" s="19"/>
      <c r="V18" s="30">
        <f>IF(T$12=0,0,T18/T$12)</f>
        <v>0</v>
      </c>
      <c r="W18" s="4"/>
      <c r="X18" s="19">
        <f>+P18-T18</f>
        <v>0</v>
      </c>
      <c r="Y18" s="4"/>
      <c r="Z18" s="30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collapsed="1" x14ac:dyDescent="0.25">
      <c r="A20" s="10"/>
      <c r="B20" s="25" t="s">
        <v>0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0</v>
      </c>
      <c r="M20" s="4"/>
      <c r="N20" s="12">
        <f t="shared" ref="N20:N22" si="3">IF(H20=0,0,L20/H20)</f>
        <v>0</v>
      </c>
      <c r="O20" s="10"/>
      <c r="P20" s="4">
        <f>SUM(OSRRefP25x_0)</f>
        <v>1564.13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1564.13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23">
        <f t="shared" si="0"/>
        <v>0</v>
      </c>
      <c r="G21" s="2"/>
      <c r="H21" s="2"/>
      <c r="I21" s="2"/>
      <c r="J21" s="23">
        <f t="shared" si="1"/>
        <v>0</v>
      </c>
      <c r="K21" s="2"/>
      <c r="L21" s="2">
        <f t="shared" si="2"/>
        <v>0</v>
      </c>
      <c r="M21" s="2"/>
      <c r="N21" s="23">
        <f t="shared" si="3"/>
        <v>0</v>
      </c>
      <c r="O21" s="11"/>
      <c r="P21" s="2">
        <f>--1363.63</f>
        <v>1363.63</v>
      </c>
      <c r="Q21" s="2"/>
      <c r="R21" s="23">
        <f t="shared" si="4"/>
        <v>0</v>
      </c>
      <c r="S21" s="2"/>
      <c r="T21" s="2"/>
      <c r="U21" s="2"/>
      <c r="V21" s="23">
        <f t="shared" si="5"/>
        <v>0</v>
      </c>
      <c r="W21" s="2"/>
      <c r="X21" s="2">
        <f t="shared" si="6"/>
        <v>1363.63</v>
      </c>
      <c r="Y21" s="2"/>
      <c r="Z21" s="23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23">
        <f t="shared" si="0"/>
        <v>0</v>
      </c>
      <c r="G22" s="2"/>
      <c r="H22" s="2"/>
      <c r="I22" s="2"/>
      <c r="J22" s="23">
        <f t="shared" si="1"/>
        <v>0</v>
      </c>
      <c r="K22" s="2"/>
      <c r="L22" s="2">
        <f t="shared" si="2"/>
        <v>0</v>
      </c>
      <c r="M22" s="2"/>
      <c r="N22" s="23">
        <f t="shared" si="3"/>
        <v>0</v>
      </c>
      <c r="O22" s="11"/>
      <c r="P22" s="2">
        <f>--200.5</f>
        <v>200.5</v>
      </c>
      <c r="Q22" s="2"/>
      <c r="R22" s="23">
        <f t="shared" si="4"/>
        <v>0</v>
      </c>
      <c r="S22" s="2"/>
      <c r="T22" s="2"/>
      <c r="U22" s="2"/>
      <c r="V22" s="23">
        <f t="shared" si="5"/>
        <v>0</v>
      </c>
      <c r="W22" s="2"/>
      <c r="X22" s="2">
        <f t="shared" si="6"/>
        <v>200.5</v>
      </c>
      <c r="Y22" s="2"/>
      <c r="Z22" s="23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10"/>
      <c r="B24" s="26" t="s">
        <v>3</v>
      </c>
      <c r="C24" s="26"/>
      <c r="D24" s="21">
        <f>+D16-D18+D20</f>
        <v>0</v>
      </c>
      <c r="E24" s="13"/>
      <c r="F24" s="20">
        <f>IF(D$12=0,0,D24/D$12)</f>
        <v>0</v>
      </c>
      <c r="G24" s="13"/>
      <c r="H24" s="21">
        <f>+H16-H18+H20</f>
        <v>0</v>
      </c>
      <c r="I24" s="13"/>
      <c r="J24" s="20">
        <f>IF(H$12=0,0,H24/H$12)</f>
        <v>0</v>
      </c>
      <c r="K24" s="16"/>
      <c r="L24" s="21">
        <f>+D24-H24</f>
        <v>0</v>
      </c>
      <c r="M24" s="16"/>
      <c r="N24" s="20">
        <f>IF(H24=0,0,L24/H24)</f>
        <v>0</v>
      </c>
      <c r="O24" s="25"/>
      <c r="P24" s="21">
        <f>+P16-P18+P20</f>
        <v>1564.13</v>
      </c>
      <c r="Q24" s="13"/>
      <c r="R24" s="20">
        <f>IF(P$12=0,0,P24/P$12)</f>
        <v>0</v>
      </c>
      <c r="S24" s="13"/>
      <c r="T24" s="21">
        <f>+T16-T18+T20</f>
        <v>0</v>
      </c>
      <c r="U24" s="13"/>
      <c r="V24" s="20">
        <f>IF(T$12=0,0,T24/T$12)</f>
        <v>0</v>
      </c>
      <c r="W24" s="16"/>
      <c r="X24" s="21">
        <f>+P24-T24</f>
        <v>1564.13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2" customFormat="1" ht="15.75" thickBot="1" x14ac:dyDescent="0.3">
      <c r="A28" s="10"/>
      <c r="B28" s="26" t="s">
        <v>4</v>
      </c>
      <c r="C28" s="26"/>
      <c r="D28" s="33">
        <f>+D24-D26</f>
        <v>0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0</v>
      </c>
      <c r="M28" s="16"/>
      <c r="N28" s="31">
        <f>IF(H28=0,0,L28/H28)</f>
        <v>0</v>
      </c>
      <c r="O28" s="25"/>
      <c r="P28" s="33">
        <f>+P24-P26</f>
        <v>1564.13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1564.13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5</v>
      </c>
      <c r="C31" s="26"/>
      <c r="D31" s="32">
        <f>SUM(D28:D30)</f>
        <v>0</v>
      </c>
      <c r="E31" s="13"/>
      <c r="F31" s="35">
        <f>IF(D$12=0,0,D31/D$12)</f>
        <v>0</v>
      </c>
      <c r="G31" s="13"/>
      <c r="H31" s="32">
        <f>SUM(H28:H30)</f>
        <v>0</v>
      </c>
      <c r="I31" s="13"/>
      <c r="J31" s="35">
        <f>IF(H$12=0,0,H31/H$12)</f>
        <v>0</v>
      </c>
      <c r="K31" s="16"/>
      <c r="L31" s="32">
        <f>+D31-H31</f>
        <v>0</v>
      </c>
      <c r="M31" s="16"/>
      <c r="N31" s="35">
        <f>IF(H31=0,0,L31/H31)</f>
        <v>0</v>
      </c>
      <c r="O31" s="25"/>
      <c r="P31" s="32">
        <f>SUM(P28:P30)</f>
        <v>1564.13</v>
      </c>
      <c r="Q31" s="13"/>
      <c r="R31" s="35">
        <f>IF(P$12=0,0,P31/P$12)</f>
        <v>0</v>
      </c>
      <c r="S31" s="13"/>
      <c r="T31" s="32">
        <f>SUM(T28:T30)</f>
        <v>0</v>
      </c>
      <c r="U31" s="13"/>
      <c r="V31" s="35">
        <f>IF(T$12=0,0,T31/T$12)</f>
        <v>0</v>
      </c>
      <c r="W31" s="16"/>
      <c r="X31" s="32">
        <f>+P31-T31</f>
        <v>1564.13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44113.690099305553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302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49828.08</v>
      </c>
      <c r="E12" s="4"/>
      <c r="F12" s="12"/>
      <c r="G12" s="4"/>
      <c r="H12" s="4">
        <f>SUM(OSRRefH13x_0)</f>
        <v>133971</v>
      </c>
      <c r="I12" s="4"/>
      <c r="J12" s="12"/>
      <c r="K12" s="4"/>
      <c r="L12" s="4">
        <f t="shared" ref="L12:L16" si="0">+D12-H12</f>
        <v>-84142.92</v>
      </c>
      <c r="M12" s="4"/>
      <c r="N12" s="12">
        <f t="shared" ref="N12:N16" si="1">IF(H12=0,0,L12/H12)</f>
        <v>-0.62806816400564303</v>
      </c>
      <c r="O12" s="10"/>
      <c r="P12" s="4">
        <f>SUM(OSRRefP13x_0)</f>
        <v>69156</v>
      </c>
      <c r="Q12" s="4"/>
      <c r="R12" s="12"/>
      <c r="S12" s="4"/>
      <c r="T12" s="4">
        <f>SUM(OSRRefT13x_0)</f>
        <v>133971</v>
      </c>
      <c r="U12" s="4"/>
      <c r="V12" s="12"/>
      <c r="W12" s="4"/>
      <c r="X12" s="4">
        <f t="shared" ref="X12:X16" si="2">+P12-T12</f>
        <v>-64815</v>
      </c>
      <c r="Y12" s="4"/>
      <c r="Z12" s="12">
        <f t="shared" ref="Z12:Z16" si="3">IF(T12=0,0,X12/T12)</f>
        <v>-0.4837987325615245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--140.01</f>
        <v>140.01</v>
      </c>
      <c r="E13" s="2"/>
      <c r="F13" s="23"/>
      <c r="G13" s="2"/>
      <c r="H13" s="2"/>
      <c r="I13" s="2"/>
      <c r="J13" s="23"/>
      <c r="K13" s="2"/>
      <c r="L13" s="2">
        <f t="shared" si="0"/>
        <v>140.01</v>
      </c>
      <c r="M13" s="2"/>
      <c r="N13" s="23">
        <f t="shared" si="1"/>
        <v>0</v>
      </c>
      <c r="O13" s="11"/>
      <c r="P13" s="2">
        <f>--339.9</f>
        <v>339.9</v>
      </c>
      <c r="Q13" s="2"/>
      <c r="R13" s="23"/>
      <c r="S13" s="2"/>
      <c r="T13" s="2"/>
      <c r="U13" s="2"/>
      <c r="V13" s="23"/>
      <c r="W13" s="2"/>
      <c r="X13" s="2">
        <f t="shared" si="2"/>
        <v>339.9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3"/>
      <c r="G14" s="2"/>
      <c r="H14" s="2">
        <v>133971</v>
      </c>
      <c r="I14" s="2"/>
      <c r="J14" s="23"/>
      <c r="K14" s="2"/>
      <c r="L14" s="2">
        <f t="shared" si="0"/>
        <v>-133971</v>
      </c>
      <c r="M14" s="2"/>
      <c r="N14" s="23">
        <f t="shared" si="1"/>
        <v>-1</v>
      </c>
      <c r="O14" s="11"/>
      <c r="P14" s="2">
        <f>0</f>
        <v>0</v>
      </c>
      <c r="Q14" s="2"/>
      <c r="R14" s="23"/>
      <c r="S14" s="2"/>
      <c r="T14" s="2">
        <v>133971</v>
      </c>
      <c r="U14" s="2"/>
      <c r="V14" s="23"/>
      <c r="W14" s="2"/>
      <c r="X14" s="2">
        <f t="shared" si="2"/>
        <v>-133971</v>
      </c>
      <c r="Y14" s="2"/>
      <c r="Z14" s="23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--40550.68</f>
        <v>40550.68</v>
      </c>
      <c r="E15" s="2"/>
      <c r="F15" s="23"/>
      <c r="G15" s="2"/>
      <c r="H15" s="2"/>
      <c r="I15" s="2"/>
      <c r="J15" s="23"/>
      <c r="K15" s="2"/>
      <c r="L15" s="2">
        <f t="shared" si="0"/>
        <v>40550.68</v>
      </c>
      <c r="M15" s="2"/>
      <c r="N15" s="23">
        <f t="shared" si="1"/>
        <v>0</v>
      </c>
      <c r="O15" s="11"/>
      <c r="P15" s="2">
        <f>--41850.68</f>
        <v>41850.68</v>
      </c>
      <c r="Q15" s="2"/>
      <c r="R15" s="23"/>
      <c r="S15" s="2"/>
      <c r="T15" s="2"/>
      <c r="U15" s="2"/>
      <c r="V15" s="23"/>
      <c r="W15" s="2"/>
      <c r="X15" s="2">
        <f t="shared" si="2"/>
        <v>41850.68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--9137.39</f>
        <v>9137.39</v>
      </c>
      <c r="E16" s="2"/>
      <c r="F16" s="23"/>
      <c r="G16" s="2"/>
      <c r="H16" s="2"/>
      <c r="I16" s="2"/>
      <c r="J16" s="23"/>
      <c r="K16" s="2"/>
      <c r="L16" s="2">
        <f t="shared" si="0"/>
        <v>9137.39</v>
      </c>
      <c r="M16" s="2"/>
      <c r="N16" s="23">
        <f t="shared" si="1"/>
        <v>0</v>
      </c>
      <c r="O16" s="11"/>
      <c r="P16" s="2">
        <f>--26965.42</f>
        <v>26965.42</v>
      </c>
      <c r="Q16" s="2"/>
      <c r="R16" s="23"/>
      <c r="S16" s="2"/>
      <c r="T16" s="2"/>
      <c r="U16" s="2"/>
      <c r="V16" s="23"/>
      <c r="W16" s="2"/>
      <c r="X16" s="2">
        <f t="shared" si="2"/>
        <v>26965.42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46072.600000000006</v>
      </c>
      <c r="E18" s="4"/>
      <c r="F18" s="12">
        <f t="shared" ref="F18:F21" si="4">IF(D$12=0,0,D18/D$12)</f>
        <v>0.92463125209721109</v>
      </c>
      <c r="G18" s="4"/>
      <c r="H18" s="4">
        <f>SUM(OSRRefH16x_0)</f>
        <v>52280</v>
      </c>
      <c r="I18" s="4"/>
      <c r="J18" s="12">
        <f t="shared" ref="J18:J21" si="5">IF(H$12=0,0,H18/H$12)</f>
        <v>0.39023370729486234</v>
      </c>
      <c r="K18" s="4"/>
      <c r="L18" s="4">
        <f t="shared" ref="L18:L21" si="6">+D18-H18</f>
        <v>-6207.3999999999942</v>
      </c>
      <c r="M18" s="4"/>
      <c r="N18" s="12">
        <f t="shared" ref="N18:N21" si="7">IF(H18=0,0,L18/H18)</f>
        <v>-0.1187337413925018</v>
      </c>
      <c r="O18" s="10"/>
      <c r="P18" s="4">
        <f>SUM(OSRRefP16x_0)</f>
        <v>57762.22</v>
      </c>
      <c r="Q18" s="4"/>
      <c r="R18" s="12">
        <f t="shared" ref="R18:R21" si="8">IF(P$12=0,0,P18/P$12)</f>
        <v>0.8352452426398288</v>
      </c>
      <c r="S18" s="4"/>
      <c r="T18" s="4">
        <f>SUM(OSRRefT16x_0)</f>
        <v>52280</v>
      </c>
      <c r="U18" s="4"/>
      <c r="V18" s="12">
        <f t="shared" ref="V18:V21" si="9">IF(T$12=0,0,T18/T$12)</f>
        <v>0.39023370729486234</v>
      </c>
      <c r="W18" s="4"/>
      <c r="X18" s="4">
        <f t="shared" ref="X18:X21" si="10">+P18-T18</f>
        <v>5482.2200000000012</v>
      </c>
      <c r="Y18" s="4"/>
      <c r="Z18" s="12">
        <f t="shared" ref="Z18:Z21" si="11">IF(T18=0,0,X18/T18)</f>
        <v>0.104862662586075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52280</v>
      </c>
      <c r="I19" s="2"/>
      <c r="J19" s="23">
        <f t="shared" si="5"/>
        <v>0.39023370729486234</v>
      </c>
      <c r="K19" s="2"/>
      <c r="L19" s="2">
        <f t="shared" si="6"/>
        <v>-52280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52280</v>
      </c>
      <c r="U19" s="2"/>
      <c r="V19" s="23">
        <f t="shared" si="9"/>
        <v>0.39023370729486234</v>
      </c>
      <c r="W19" s="2"/>
      <c r="X19" s="2">
        <f t="shared" si="10"/>
        <v>-52280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76328.600000000006</v>
      </c>
      <c r="E20" s="2"/>
      <c r="F20" s="23">
        <f t="shared" si="4"/>
        <v>1.5318390754771205</v>
      </c>
      <c r="G20" s="2"/>
      <c r="H20" s="2"/>
      <c r="I20" s="2"/>
      <c r="J20" s="23">
        <f t="shared" si="5"/>
        <v>0</v>
      </c>
      <c r="K20" s="2"/>
      <c r="L20" s="2">
        <f t="shared" si="6"/>
        <v>76328.600000000006</v>
      </c>
      <c r="M20" s="2"/>
      <c r="N20" s="23">
        <f t="shared" si="7"/>
        <v>0</v>
      </c>
      <c r="O20" s="11"/>
      <c r="P20" s="2">
        <v>84609.22</v>
      </c>
      <c r="Q20" s="2"/>
      <c r="R20" s="23">
        <f t="shared" si="8"/>
        <v>1.2234545086471167</v>
      </c>
      <c r="S20" s="2"/>
      <c r="T20" s="2"/>
      <c r="U20" s="2"/>
      <c r="V20" s="23">
        <f t="shared" si="9"/>
        <v>0</v>
      </c>
      <c r="W20" s="2"/>
      <c r="X20" s="2">
        <f t="shared" si="10"/>
        <v>84609.22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-30256</v>
      </c>
      <c r="E21" s="2"/>
      <c r="F21" s="23">
        <f t="shared" si="4"/>
        <v>-0.60720782337990942</v>
      </c>
      <c r="G21" s="2"/>
      <c r="H21" s="2"/>
      <c r="I21" s="2"/>
      <c r="J21" s="23">
        <f t="shared" si="5"/>
        <v>0</v>
      </c>
      <c r="K21" s="2"/>
      <c r="L21" s="2">
        <f t="shared" si="6"/>
        <v>-30256</v>
      </c>
      <c r="M21" s="2"/>
      <c r="N21" s="23">
        <f t="shared" si="7"/>
        <v>0</v>
      </c>
      <c r="O21" s="11"/>
      <c r="P21" s="2">
        <v>-26847</v>
      </c>
      <c r="Q21" s="2"/>
      <c r="R21" s="23">
        <f t="shared" si="8"/>
        <v>-0.38820926600728789</v>
      </c>
      <c r="S21" s="2"/>
      <c r="T21" s="2"/>
      <c r="U21" s="2"/>
      <c r="V21" s="23">
        <f t="shared" si="9"/>
        <v>0</v>
      </c>
      <c r="W21" s="2"/>
      <c r="X21" s="2">
        <f t="shared" si="10"/>
        <v>-26847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3755.4799999999959</v>
      </c>
      <c r="E23" s="13"/>
      <c r="F23" s="20">
        <f>IF(D$12=0,0,D23/D$12)</f>
        <v>7.5368747902788871E-2</v>
      </c>
      <c r="G23" s="13"/>
      <c r="H23" s="21">
        <f>H12-H18</f>
        <v>81691</v>
      </c>
      <c r="I23" s="13"/>
      <c r="J23" s="20">
        <f>IF(H$12=0,0,H23/H$12)</f>
        <v>0.60976629270513771</v>
      </c>
      <c r="K23" s="16"/>
      <c r="L23" s="21">
        <f>+D23-H23</f>
        <v>-77935.520000000004</v>
      </c>
      <c r="M23" s="16"/>
      <c r="N23" s="20">
        <f>IF(H23=0,0,L23/H23)</f>
        <v>-0.95402822832380563</v>
      </c>
      <c r="O23" s="25"/>
      <c r="P23" s="21">
        <f>P12-P18</f>
        <v>11393.779999999999</v>
      </c>
      <c r="Q23" s="13"/>
      <c r="R23" s="20">
        <f>IF(P$12=0,0,P23/P$12)</f>
        <v>0.1647547573601712</v>
      </c>
      <c r="S23" s="13"/>
      <c r="T23" s="21">
        <f>T12-T18</f>
        <v>81691</v>
      </c>
      <c r="U23" s="13"/>
      <c r="V23" s="20">
        <f>IF(T$12=0,0,T23/T$12)</f>
        <v>0.60976629270513771</v>
      </c>
      <c r="W23" s="16"/>
      <c r="X23" s="21">
        <f>+P23-T23</f>
        <v>-70297.22</v>
      </c>
      <c r="Y23" s="16"/>
      <c r="Z23" s="20">
        <f>IF(T23=0,0,X23/T23)</f>
        <v>-0.86052588412432218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198092.34999999995</v>
      </c>
      <c r="E25" s="19"/>
      <c r="F25" s="30">
        <f t="shared" ref="F25:F36" si="12">IF(D$12=0,0,D25/D$12)</f>
        <v>3.9755164156435474</v>
      </c>
      <c r="G25" s="19"/>
      <c r="H25" s="19">
        <f>SUM(OSRRefH22x_0)</f>
        <v>308554.03416012612</v>
      </c>
      <c r="I25" s="19"/>
      <c r="J25" s="30">
        <f t="shared" ref="J25:J36" si="13">IF(H$12=0,0,H25/H$12)</f>
        <v>2.3031404868227163</v>
      </c>
      <c r="K25" s="4"/>
      <c r="L25" s="19">
        <f t="shared" ref="L25:L36" si="14">+D25-H25</f>
        <v>-110461.68416012617</v>
      </c>
      <c r="M25" s="4"/>
      <c r="N25" s="30">
        <f t="shared" ref="N25:N36" si="15">IF(H25=0,0,L25/H25)</f>
        <v>-0.35799786076626489</v>
      </c>
      <c r="O25" s="10"/>
      <c r="P25" s="19">
        <f>SUM(OSRRefP22x_0)</f>
        <v>384062.35</v>
      </c>
      <c r="Q25" s="19"/>
      <c r="R25" s="30">
        <f t="shared" ref="R25:R36" si="16">IF(P$12=0,0,P25/P$12)</f>
        <v>5.5535651281161424</v>
      </c>
      <c r="S25" s="19"/>
      <c r="T25" s="19">
        <f>SUM(OSRRefT22x_0)</f>
        <v>603223.73827403376</v>
      </c>
      <c r="U25" s="19"/>
      <c r="V25" s="30">
        <f t="shared" ref="V25:V36" si="17">IF(T$12=0,0,T25/T$12)</f>
        <v>4.5026441414487746</v>
      </c>
      <c r="W25" s="4"/>
      <c r="X25" s="19">
        <f t="shared" ref="X25:X36" si="18">+P25-T25</f>
        <v>-219161.38827403379</v>
      </c>
      <c r="Y25" s="4"/>
      <c r="Z25" s="30">
        <f t="shared" ref="Z25:Z36" si="19">IF(T25=0,0,X25/T25)</f>
        <v>-0.36331691604363336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72340.7</v>
      </c>
      <c r="E26" s="1"/>
      <c r="F26" s="5">
        <f t="shared" si="12"/>
        <v>1.4518058893700097</v>
      </c>
      <c r="G26" s="1"/>
      <c r="H26" s="1">
        <f>SUM(OSRRefH22_0x_0)</f>
        <v>97093.258041664652</v>
      </c>
      <c r="I26" s="1"/>
      <c r="J26" s="5">
        <f t="shared" si="13"/>
        <v>0.72473339783732782</v>
      </c>
      <c r="K26" s="1"/>
      <c r="L26" s="1">
        <f t="shared" si="14"/>
        <v>-24752.558041664655</v>
      </c>
      <c r="M26" s="1"/>
      <c r="N26" s="5">
        <f t="shared" si="15"/>
        <v>-0.25493590946389749</v>
      </c>
      <c r="O26" s="14"/>
      <c r="P26" s="1">
        <f>SUM(OSRRefP22_0x_0)</f>
        <v>143882.51</v>
      </c>
      <c r="Q26" s="1"/>
      <c r="R26" s="5">
        <f t="shared" si="16"/>
        <v>2.0805499161316447</v>
      </c>
      <c r="S26" s="1"/>
      <c r="T26" s="1">
        <f>SUM(OSRRefT22_0x_0)</f>
        <v>208239.24783249534</v>
      </c>
      <c r="U26" s="1"/>
      <c r="V26" s="5">
        <f t="shared" si="17"/>
        <v>1.5543606290353535</v>
      </c>
      <c r="W26" s="1"/>
      <c r="X26" s="1">
        <f t="shared" si="18"/>
        <v>-64356.737832495332</v>
      </c>
      <c r="Y26" s="1"/>
      <c r="Z26" s="5">
        <f t="shared" si="19"/>
        <v>-0.30905191265511567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6963.14</v>
      </c>
      <c r="E27" s="2"/>
      <c r="F27" s="7">
        <f t="shared" si="12"/>
        <v>0.13974329333981964</v>
      </c>
      <c r="G27" s="2"/>
      <c r="H27" s="6">
        <v>10717.88102235692</v>
      </c>
      <c r="I27" s="2"/>
      <c r="J27" s="7">
        <f t="shared" si="13"/>
        <v>8.0001500491575936E-2</v>
      </c>
      <c r="K27" s="2"/>
      <c r="L27" s="6">
        <f t="shared" si="14"/>
        <v>-3754.7410223569195</v>
      </c>
      <c r="M27" s="2"/>
      <c r="N27" s="7">
        <f t="shared" si="15"/>
        <v>-0.35032493965222539</v>
      </c>
      <c r="O27" s="11"/>
      <c r="P27" s="6">
        <v>13363.65</v>
      </c>
      <c r="Q27" s="2"/>
      <c r="R27" s="7">
        <f t="shared" si="16"/>
        <v>0.19323919833420095</v>
      </c>
      <c r="S27" s="2"/>
      <c r="T27" s="6">
        <v>22197.294837803071</v>
      </c>
      <c r="U27" s="2"/>
      <c r="V27" s="7">
        <f t="shared" si="17"/>
        <v>0.16568731171524487</v>
      </c>
      <c r="W27" s="2"/>
      <c r="X27" s="6">
        <f t="shared" si="18"/>
        <v>-8833.6448378030709</v>
      </c>
      <c r="Y27" s="2"/>
      <c r="Z27" s="7">
        <f t="shared" si="19"/>
        <v>-0.39796042276101795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3863.42</v>
      </c>
      <c r="E28" s="2"/>
      <c r="F28" s="7">
        <f t="shared" si="12"/>
        <v>7.753499633138583E-2</v>
      </c>
      <c r="G28" s="2"/>
      <c r="H28" s="6">
        <v>6321.9532265999997</v>
      </c>
      <c r="I28" s="2"/>
      <c r="J28" s="7">
        <f t="shared" si="13"/>
        <v>4.7188967960230199E-2</v>
      </c>
      <c r="K28" s="2"/>
      <c r="L28" s="6">
        <f t="shared" si="14"/>
        <v>-2458.5332265999996</v>
      </c>
      <c r="M28" s="2"/>
      <c r="N28" s="7">
        <f t="shared" si="15"/>
        <v>-0.38888823413871093</v>
      </c>
      <c r="O28" s="11"/>
      <c r="P28" s="6">
        <v>7434.63</v>
      </c>
      <c r="Q28" s="2"/>
      <c r="R28" s="7">
        <f t="shared" si="16"/>
        <v>0.10750520562207184</v>
      </c>
      <c r="S28" s="2"/>
      <c r="T28" s="6">
        <v>12756.9049146</v>
      </c>
      <c r="U28" s="2"/>
      <c r="V28" s="7">
        <f t="shared" si="17"/>
        <v>9.5221390559150854E-2</v>
      </c>
      <c r="W28" s="2"/>
      <c r="X28" s="6">
        <f t="shared" si="18"/>
        <v>-5322.2749145999996</v>
      </c>
      <c r="Y28" s="2"/>
      <c r="Z28" s="7">
        <f t="shared" si="19"/>
        <v>-0.41720738299999177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44390.990000000005</v>
      </c>
      <c r="E29" s="2"/>
      <c r="F29" s="7">
        <f t="shared" si="12"/>
        <v>0.89088301214897314</v>
      </c>
      <c r="G29" s="2"/>
      <c r="H29" s="6">
        <v>59594.230769230795</v>
      </c>
      <c r="I29" s="2"/>
      <c r="J29" s="7">
        <f t="shared" si="13"/>
        <v>0.44482933447709427</v>
      </c>
      <c r="K29" s="2"/>
      <c r="L29" s="6">
        <f t="shared" si="14"/>
        <v>-15203.24076923079</v>
      </c>
      <c r="M29" s="2"/>
      <c r="N29" s="7">
        <f t="shared" si="15"/>
        <v>-0.25511262706121551</v>
      </c>
      <c r="O29" s="11"/>
      <c r="P29" s="6">
        <v>86082.08</v>
      </c>
      <c r="Q29" s="2"/>
      <c r="R29" s="7">
        <f t="shared" si="16"/>
        <v>1.2447521545491353</v>
      </c>
      <c r="S29" s="2"/>
      <c r="T29" s="6">
        <v>129285.76923076919</v>
      </c>
      <c r="U29" s="2"/>
      <c r="V29" s="7">
        <f t="shared" si="17"/>
        <v>0.96502802271214805</v>
      </c>
      <c r="W29" s="2"/>
      <c r="X29" s="6">
        <f t="shared" si="18"/>
        <v>-43203.689230769189</v>
      </c>
      <c r="Y29" s="2"/>
      <c r="Z29" s="7">
        <f t="shared" si="19"/>
        <v>-0.33417203987588595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238.78</v>
      </c>
      <c r="E30" s="2"/>
      <c r="F30" s="7">
        <f t="shared" si="12"/>
        <v>4.7920770778243915E-3</v>
      </c>
      <c r="G30" s="2"/>
      <c r="H30" s="6">
        <v>383.14868039999999</v>
      </c>
      <c r="I30" s="2"/>
      <c r="J30" s="7">
        <f t="shared" si="13"/>
        <v>2.8599374521351634E-3</v>
      </c>
      <c r="K30" s="2"/>
      <c r="L30" s="6">
        <f t="shared" si="14"/>
        <v>-144.36868039999999</v>
      </c>
      <c r="M30" s="2"/>
      <c r="N30" s="7">
        <f t="shared" si="15"/>
        <v>-0.37679545248409002</v>
      </c>
      <c r="O30" s="11"/>
      <c r="P30" s="6">
        <v>531.4</v>
      </c>
      <c r="Q30" s="2"/>
      <c r="R30" s="7">
        <f t="shared" si="16"/>
        <v>7.6840765804847009E-3</v>
      </c>
      <c r="S30" s="2"/>
      <c r="T30" s="6">
        <v>773.14575239999999</v>
      </c>
      <c r="U30" s="2"/>
      <c r="V30" s="7">
        <f t="shared" si="17"/>
        <v>5.7709933672212641E-3</v>
      </c>
      <c r="W30" s="2"/>
      <c r="X30" s="6">
        <f t="shared" si="18"/>
        <v>-241.74575240000001</v>
      </c>
      <c r="Y30" s="2"/>
      <c r="Z30" s="7">
        <f t="shared" si="19"/>
        <v>-0.31267810972196713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3585.18</v>
      </c>
      <c r="E31" s="2"/>
      <c r="F31" s="7">
        <f t="shared" si="12"/>
        <v>7.1950996305697498E-2</v>
      </c>
      <c r="G31" s="2"/>
      <c r="H31" s="6">
        <v>4603.1433846153923</v>
      </c>
      <c r="I31" s="2"/>
      <c r="J31" s="7">
        <f t="shared" si="13"/>
        <v>3.4359252260678749E-2</v>
      </c>
      <c r="K31" s="2"/>
      <c r="L31" s="6">
        <f t="shared" si="14"/>
        <v>-1017.9633846153924</v>
      </c>
      <c r="M31" s="2"/>
      <c r="N31" s="7">
        <f t="shared" si="15"/>
        <v>-0.22114526956028041</v>
      </c>
      <c r="O31" s="11"/>
      <c r="P31" s="6">
        <v>8962.94</v>
      </c>
      <c r="Q31" s="2"/>
      <c r="R31" s="7">
        <f t="shared" si="16"/>
        <v>0.12960466192376657</v>
      </c>
      <c r="S31" s="2"/>
      <c r="T31" s="6">
        <v>10357.072615384632</v>
      </c>
      <c r="U31" s="2"/>
      <c r="V31" s="7">
        <f t="shared" si="17"/>
        <v>7.7308317586527175E-2</v>
      </c>
      <c r="W31" s="2"/>
      <c r="X31" s="6">
        <f t="shared" si="18"/>
        <v>-1394.1326153846312</v>
      </c>
      <c r="Y31" s="2"/>
      <c r="Z31" s="7">
        <f t="shared" si="19"/>
        <v>-0.13460682059076759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1373.88</v>
      </c>
      <c r="E33" s="2"/>
      <c r="F33" s="7">
        <f t="shared" si="12"/>
        <v>2.7572404957204855E-2</v>
      </c>
      <c r="G33" s="2"/>
      <c r="H33" s="6"/>
      <c r="I33" s="2"/>
      <c r="J33" s="7">
        <f t="shared" si="13"/>
        <v>0</v>
      </c>
      <c r="K33" s="2"/>
      <c r="L33" s="6">
        <f t="shared" si="14"/>
        <v>1373.88</v>
      </c>
      <c r="M33" s="2"/>
      <c r="N33" s="7">
        <f t="shared" si="15"/>
        <v>0</v>
      </c>
      <c r="O33" s="11"/>
      <c r="P33" s="6">
        <v>3343.02</v>
      </c>
      <c r="Q33" s="2"/>
      <c r="R33" s="7">
        <f t="shared" si="16"/>
        <v>4.8340274162762452E-2</v>
      </c>
      <c r="S33" s="2"/>
      <c r="T33" s="6"/>
      <c r="U33" s="2"/>
      <c r="V33" s="7">
        <f t="shared" si="17"/>
        <v>0</v>
      </c>
      <c r="W33" s="2"/>
      <c r="X33" s="6">
        <f t="shared" si="18"/>
        <v>3343.02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5869.15</v>
      </c>
      <c r="E34" s="2"/>
      <c r="F34" s="7">
        <f t="shared" si="12"/>
        <v>0.11778800226699482</v>
      </c>
      <c r="G34" s="2"/>
      <c r="H34" s="6">
        <v>6756.0878769230803</v>
      </c>
      <c r="I34" s="2"/>
      <c r="J34" s="7">
        <f t="shared" si="13"/>
        <v>5.0429480088400327E-2</v>
      </c>
      <c r="K34" s="2"/>
      <c r="L34" s="6">
        <f t="shared" si="14"/>
        <v>-886.93787692308069</v>
      </c>
      <c r="M34" s="2"/>
      <c r="N34" s="7">
        <f t="shared" si="15"/>
        <v>-0.13127980172558354</v>
      </c>
      <c r="O34" s="11"/>
      <c r="P34" s="6">
        <v>11321.27</v>
      </c>
      <c r="Q34" s="2"/>
      <c r="R34" s="7">
        <f t="shared" si="16"/>
        <v>0.16370625831453525</v>
      </c>
      <c r="S34" s="2"/>
      <c r="T34" s="6">
        <v>15201.197723076919</v>
      </c>
      <c r="U34" s="2"/>
      <c r="V34" s="7">
        <f t="shared" si="17"/>
        <v>0.11346633019890065</v>
      </c>
      <c r="W34" s="2"/>
      <c r="X34" s="6">
        <f t="shared" si="18"/>
        <v>-3879.9277230769185</v>
      </c>
      <c r="Y34" s="2"/>
      <c r="Z34" s="7">
        <f t="shared" si="19"/>
        <v>-0.25523829067671461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4078.56</v>
      </c>
      <c r="E35" s="2"/>
      <c r="F35" s="7">
        <f t="shared" si="12"/>
        <v>8.1852642124681504E-2</v>
      </c>
      <c r="G35" s="2"/>
      <c r="H35" s="6">
        <v>5041.8130815384602</v>
      </c>
      <c r="I35" s="2"/>
      <c r="J35" s="7">
        <f t="shared" si="13"/>
        <v>3.763361534614551E-2</v>
      </c>
      <c r="K35" s="2"/>
      <c r="L35" s="6">
        <f t="shared" si="14"/>
        <v>-963.25308153846026</v>
      </c>
      <c r="M35" s="2"/>
      <c r="N35" s="7">
        <f t="shared" si="15"/>
        <v>-0.19105291409266861</v>
      </c>
      <c r="O35" s="11"/>
      <c r="P35" s="6">
        <v>8157.12</v>
      </c>
      <c r="Q35" s="2"/>
      <c r="R35" s="7">
        <f t="shared" si="16"/>
        <v>0.11795245531841055</v>
      </c>
      <c r="S35" s="2"/>
      <c r="T35" s="6">
        <v>10317.86275846153</v>
      </c>
      <c r="U35" s="2"/>
      <c r="V35" s="7">
        <f t="shared" si="17"/>
        <v>7.7015643374025194E-2</v>
      </c>
      <c r="W35" s="2"/>
      <c r="X35" s="6">
        <f t="shared" si="18"/>
        <v>-2160.7427584615298</v>
      </c>
      <c r="Y35" s="2"/>
      <c r="Z35" s="7">
        <f t="shared" si="19"/>
        <v>-0.20941766808145765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1977.6</v>
      </c>
      <c r="E36" s="2"/>
      <c r="F36" s="7">
        <f t="shared" si="12"/>
        <v>3.9688464817428243E-2</v>
      </c>
      <c r="G36" s="2"/>
      <c r="H36" s="6">
        <v>3675</v>
      </c>
      <c r="I36" s="2"/>
      <c r="J36" s="7">
        <f t="shared" si="13"/>
        <v>2.7431309761067692E-2</v>
      </c>
      <c r="K36" s="2"/>
      <c r="L36" s="6">
        <f t="shared" si="14"/>
        <v>-1697.4</v>
      </c>
      <c r="M36" s="2"/>
      <c r="N36" s="7">
        <f t="shared" si="15"/>
        <v>-0.46187755102040817</v>
      </c>
      <c r="O36" s="11"/>
      <c r="P36" s="6">
        <v>4686.3999999999996</v>
      </c>
      <c r="Q36" s="2"/>
      <c r="R36" s="7">
        <f t="shared" si="16"/>
        <v>6.7765631326276818E-2</v>
      </c>
      <c r="S36" s="2"/>
      <c r="T36" s="6">
        <v>7350</v>
      </c>
      <c r="U36" s="2"/>
      <c r="V36" s="7">
        <f t="shared" si="17"/>
        <v>5.4862619522135385E-2</v>
      </c>
      <c r="W36" s="2"/>
      <c r="X36" s="6">
        <f t="shared" si="18"/>
        <v>-2663.6000000000004</v>
      </c>
      <c r="Y36" s="2"/>
      <c r="Z36" s="7">
        <f t="shared" si="19"/>
        <v>-0.36239455782312929</v>
      </c>
    </row>
    <row r="37" spans="1:26" s="29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87695.920000000013</v>
      </c>
      <c r="E37" s="1"/>
      <c r="F37" s="5">
        <f t="shared" ref="F37:F47" si="20">IF(D$12=0,0,D37/D$12)</f>
        <v>1.7599698804368944</v>
      </c>
      <c r="G37" s="1"/>
      <c r="H37" s="1">
        <f>SUM(OSRRefH22_1x_0)</f>
        <v>135739.77611846154</v>
      </c>
      <c r="I37" s="1"/>
      <c r="J37" s="5">
        <f t="shared" ref="J37:J47" si="21">IF(H$12=0,0,H37/H$12)</f>
        <v>1.0132026790757815</v>
      </c>
      <c r="K37" s="1"/>
      <c r="L37" s="1">
        <f t="shared" ref="L37:L47" si="22">+D37-H37</f>
        <v>-48043.856118461525</v>
      </c>
      <c r="M37" s="1"/>
      <c r="N37" s="5">
        <f t="shared" ref="N37:N47" si="23">IF(H37=0,0,L37/H37)</f>
        <v>-0.35394088226971249</v>
      </c>
      <c r="O37" s="14"/>
      <c r="P37" s="1">
        <f>SUM(OSRRefP22_1x_0)</f>
        <v>174693.48</v>
      </c>
      <c r="Q37" s="1"/>
      <c r="R37" s="5">
        <f t="shared" ref="R37:R47" si="24">IF(P$12=0,0,P37/P$12)</f>
        <v>2.5260784313725493</v>
      </c>
      <c r="S37" s="1"/>
      <c r="T37" s="1">
        <f>SUM(OSRRefT22_1x_0)</f>
        <v>272017.49044153845</v>
      </c>
      <c r="U37" s="1"/>
      <c r="V37" s="5">
        <f t="shared" ref="V37:V47" si="25">IF(T$12=0,0,T37/T$12)</f>
        <v>2.0304206913551326</v>
      </c>
      <c r="W37" s="1"/>
      <c r="X37" s="1">
        <f t="shared" ref="X37:X47" si="26">+P37-T37</f>
        <v>-97324.010441538441</v>
      </c>
      <c r="Y37" s="1"/>
      <c r="Z37" s="5">
        <f t="shared" ref="Z37:Z47" si="27">IF(T37=0,0,X37/T37)</f>
        <v>-0.35778585517998213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5375.72</v>
      </c>
      <c r="E38" s="2"/>
      <c r="F38" s="7">
        <f t="shared" si="20"/>
        <v>0.10788535299774746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5375.72</v>
      </c>
      <c r="M38" s="2"/>
      <c r="N38" s="7">
        <f t="shared" si="23"/>
        <v>0</v>
      </c>
      <c r="O38" s="11"/>
      <c r="P38" s="6">
        <v>16575.259999999998</v>
      </c>
      <c r="Q38" s="2"/>
      <c r="R38" s="7">
        <f t="shared" si="24"/>
        <v>0.23967927584012955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16575.259999999998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27627.58</v>
      </c>
      <c r="E39" s="2"/>
      <c r="F39" s="7">
        <f t="shared" si="20"/>
        <v>0.5544580485541486</v>
      </c>
      <c r="G39" s="2"/>
      <c r="H39" s="6">
        <v>48283.721538461541</v>
      </c>
      <c r="I39" s="2"/>
      <c r="J39" s="7">
        <f t="shared" si="21"/>
        <v>0.36040427807855091</v>
      </c>
      <c r="K39" s="2"/>
      <c r="L39" s="6">
        <f t="shared" si="22"/>
        <v>-20656.141538461539</v>
      </c>
      <c r="M39" s="2"/>
      <c r="N39" s="7">
        <f t="shared" si="23"/>
        <v>-0.42780756909981349</v>
      </c>
      <c r="O39" s="11"/>
      <c r="P39" s="6">
        <v>61864.12000000001</v>
      </c>
      <c r="Q39" s="2"/>
      <c r="R39" s="7">
        <f t="shared" si="24"/>
        <v>0.894558968130025</v>
      </c>
      <c r="S39" s="2"/>
      <c r="T39" s="6">
        <v>108638.37346153845</v>
      </c>
      <c r="U39" s="2"/>
      <c r="V39" s="7">
        <f t="shared" si="25"/>
        <v>0.8109096256767393</v>
      </c>
      <c r="W39" s="2"/>
      <c r="X39" s="6">
        <f t="shared" si="26"/>
        <v>-46774.253461538436</v>
      </c>
      <c r="Y39" s="2"/>
      <c r="Z39" s="7">
        <f t="shared" si="27"/>
        <v>-0.43055001627116646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41720.519999999997</v>
      </c>
      <c r="E41" s="2"/>
      <c r="F41" s="7">
        <f t="shared" si="20"/>
        <v>0.83728933565170471</v>
      </c>
      <c r="G41" s="2"/>
      <c r="H41" s="6">
        <v>66498.449919999999</v>
      </c>
      <c r="I41" s="2"/>
      <c r="J41" s="7">
        <f t="shared" si="21"/>
        <v>0.49636451112554208</v>
      </c>
      <c r="K41" s="2"/>
      <c r="L41" s="6">
        <f t="shared" si="22"/>
        <v>-24777.929920000002</v>
      </c>
      <c r="M41" s="2"/>
      <c r="N41" s="7">
        <f t="shared" si="23"/>
        <v>-0.37260913524764461</v>
      </c>
      <c r="O41" s="11"/>
      <c r="P41" s="6">
        <v>74881</v>
      </c>
      <c r="Q41" s="2"/>
      <c r="R41" s="7">
        <f t="shared" si="24"/>
        <v>1.0827838510035284</v>
      </c>
      <c r="S41" s="2"/>
      <c r="T41" s="6">
        <v>142421.51231999998</v>
      </c>
      <c r="U41" s="2"/>
      <c r="V41" s="7">
        <f t="shared" si="25"/>
        <v>1.0630771758067044</v>
      </c>
      <c r="W41" s="2"/>
      <c r="X41" s="6">
        <f t="shared" si="26"/>
        <v>-67540.51231999998</v>
      </c>
      <c r="Y41" s="2"/>
      <c r="Z41" s="7">
        <f t="shared" si="27"/>
        <v>-0.47422970883953602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953.1</v>
      </c>
      <c r="E42" s="2"/>
      <c r="F42" s="7">
        <f t="shared" si="20"/>
        <v>1.9127768920656787E-2</v>
      </c>
      <c r="G42" s="2"/>
      <c r="H42" s="6">
        <v>7097.27466</v>
      </c>
      <c r="I42" s="2"/>
      <c r="J42" s="7">
        <f t="shared" si="21"/>
        <v>5.2976201267438475E-2</v>
      </c>
      <c r="K42" s="2"/>
      <c r="L42" s="6">
        <f t="shared" si="22"/>
        <v>-6144.1746599999997</v>
      </c>
      <c r="M42" s="2"/>
      <c r="N42" s="7">
        <f t="shared" si="23"/>
        <v>-0.8657090156913837</v>
      </c>
      <c r="O42" s="11"/>
      <c r="P42" s="6">
        <v>953.1</v>
      </c>
      <c r="Q42" s="2"/>
      <c r="R42" s="7">
        <f t="shared" si="24"/>
        <v>1.3781884435190005E-2</v>
      </c>
      <c r="S42" s="2"/>
      <c r="T42" s="6">
        <v>7097.27466</v>
      </c>
      <c r="U42" s="2"/>
      <c r="V42" s="7">
        <f t="shared" si="25"/>
        <v>5.2976201267438475E-2</v>
      </c>
      <c r="W42" s="2"/>
      <c r="X42" s="6">
        <f t="shared" si="26"/>
        <v>-6144.1746599999997</v>
      </c>
      <c r="Y42" s="2"/>
      <c r="Z42" s="7">
        <f t="shared" si="27"/>
        <v>-0.8657090156913837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11402.67</v>
      </c>
      <c r="E44" s="2"/>
      <c r="F44" s="7">
        <f t="shared" si="20"/>
        <v>0.22884024429598732</v>
      </c>
      <c r="G44" s="2"/>
      <c r="H44" s="6">
        <v>13860.33</v>
      </c>
      <c r="I44" s="2"/>
      <c r="J44" s="7">
        <f t="shared" si="21"/>
        <v>0.10345768860425017</v>
      </c>
      <c r="K44" s="2"/>
      <c r="L44" s="6">
        <f t="shared" si="22"/>
        <v>-2457.66</v>
      </c>
      <c r="M44" s="2"/>
      <c r="N44" s="7">
        <f t="shared" si="23"/>
        <v>-0.17731612450785803</v>
      </c>
      <c r="O44" s="11"/>
      <c r="P44" s="6">
        <v>19803.670000000002</v>
      </c>
      <c r="Q44" s="2"/>
      <c r="R44" s="7">
        <f t="shared" si="24"/>
        <v>0.2863622823760773</v>
      </c>
      <c r="S44" s="2"/>
      <c r="T44" s="6">
        <v>13860.33</v>
      </c>
      <c r="U44" s="2"/>
      <c r="V44" s="7">
        <f t="shared" si="25"/>
        <v>0.10345768860425017</v>
      </c>
      <c r="W44" s="2"/>
      <c r="X44" s="6">
        <f t="shared" si="26"/>
        <v>5943.340000000002</v>
      </c>
      <c r="Y44" s="2"/>
      <c r="Z44" s="7">
        <f t="shared" si="27"/>
        <v>0.42880220023621385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616.33000000000004</v>
      </c>
      <c r="E45" s="2"/>
      <c r="F45" s="7">
        <f t="shared" si="20"/>
        <v>1.2369130016649247E-2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616.33000000000004</v>
      </c>
      <c r="M45" s="2"/>
      <c r="N45" s="7">
        <f t="shared" si="23"/>
        <v>0</v>
      </c>
      <c r="O45" s="11"/>
      <c r="P45" s="6">
        <v>616.33000000000004</v>
      </c>
      <c r="Q45" s="2"/>
      <c r="R45" s="7">
        <f t="shared" si="24"/>
        <v>8.912169587599052E-3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616.33000000000004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704.51</v>
      </c>
      <c r="E48" s="1"/>
      <c r="F48" s="5">
        <f t="shared" ref="F48:F71" si="28">IF(D$12=0,0,D48/D$12)</f>
        <v>1.4138814901156135E-2</v>
      </c>
      <c r="G48" s="1"/>
      <c r="H48" s="1">
        <f>SUM(OSRRefH22_2x_0)</f>
        <v>1638</v>
      </c>
      <c r="I48" s="1"/>
      <c r="J48" s="5">
        <f t="shared" ref="J48:J71" si="29">IF(H$12=0,0,H48/H$12)</f>
        <v>1.22265266363616E-2</v>
      </c>
      <c r="K48" s="1"/>
      <c r="L48" s="1">
        <f t="shared" ref="L48:L71" si="30">+D48-H48</f>
        <v>-933.49</v>
      </c>
      <c r="M48" s="1"/>
      <c r="N48" s="5">
        <f t="shared" ref="N48:N71" si="31">IF(H48=0,0,L48/H48)</f>
        <v>-0.56989621489621489</v>
      </c>
      <c r="O48" s="14"/>
      <c r="P48" s="1">
        <f>SUM(OSRRefP22_2x_0)</f>
        <v>1429</v>
      </c>
      <c r="Q48" s="1"/>
      <c r="R48" s="5">
        <f t="shared" ref="R48:R71" si="32">IF(P$12=0,0,P48/P$12)</f>
        <v>2.0663427612933077E-2</v>
      </c>
      <c r="S48" s="1"/>
      <c r="T48" s="1">
        <f>SUM(OSRRefT22_2x_0)</f>
        <v>2438</v>
      </c>
      <c r="U48" s="1"/>
      <c r="V48" s="5">
        <f t="shared" ref="V48:V71" si="33">IF(T$12=0,0,T48/T$12)</f>
        <v>1.8197968217002185E-2</v>
      </c>
      <c r="W48" s="1"/>
      <c r="X48" s="1">
        <f t="shared" ref="X48:X71" si="34">+P48-T48</f>
        <v>-1009</v>
      </c>
      <c r="Y48" s="1"/>
      <c r="Z48" s="5">
        <f t="shared" ref="Z48:Z71" si="35">IF(T48=0,0,X48/T48)</f>
        <v>-0.41386382280557832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704.51</v>
      </c>
      <c r="E49" s="2"/>
      <c r="F49" s="7">
        <f t="shared" si="28"/>
        <v>1.4138814901156135E-2</v>
      </c>
      <c r="G49" s="2"/>
      <c r="H49" s="6">
        <v>1638</v>
      </c>
      <c r="I49" s="2"/>
      <c r="J49" s="7">
        <f t="shared" si="29"/>
        <v>1.22265266363616E-2</v>
      </c>
      <c r="K49" s="2"/>
      <c r="L49" s="6">
        <f t="shared" si="30"/>
        <v>-933.49</v>
      </c>
      <c r="M49" s="2"/>
      <c r="N49" s="7">
        <f t="shared" si="31"/>
        <v>-0.56989621489621489</v>
      </c>
      <c r="O49" s="11"/>
      <c r="P49" s="6">
        <v>1429</v>
      </c>
      <c r="Q49" s="2"/>
      <c r="R49" s="7">
        <f t="shared" si="32"/>
        <v>2.0663427612933077E-2</v>
      </c>
      <c r="S49" s="2"/>
      <c r="T49" s="6">
        <v>2438</v>
      </c>
      <c r="U49" s="2"/>
      <c r="V49" s="7">
        <f t="shared" si="33"/>
        <v>1.8197968217002185E-2</v>
      </c>
      <c r="W49" s="2"/>
      <c r="X49" s="6">
        <f t="shared" si="34"/>
        <v>-1009</v>
      </c>
      <c r="Y49" s="2"/>
      <c r="Z49" s="7">
        <f t="shared" si="35"/>
        <v>-0.41386382280557832</v>
      </c>
    </row>
    <row r="50" spans="1:26" s="29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32</v>
      </c>
      <c r="E50" s="1"/>
      <c r="F50" s="5">
        <f t="shared" si="28"/>
        <v>6.4220816856680007E-4</v>
      </c>
      <c r="G50" s="1"/>
      <c r="H50" s="1">
        <f>SUM(OSRRefH22_3x_0)</f>
        <v>31</v>
      </c>
      <c r="I50" s="1"/>
      <c r="J50" s="5">
        <f t="shared" si="29"/>
        <v>2.3139336124982271E-4</v>
      </c>
      <c r="K50" s="1"/>
      <c r="L50" s="1">
        <f t="shared" si="30"/>
        <v>1</v>
      </c>
      <c r="M50" s="1"/>
      <c r="N50" s="5">
        <f t="shared" si="31"/>
        <v>3.2258064516129031E-2</v>
      </c>
      <c r="O50" s="14"/>
      <c r="P50" s="1">
        <f>SUM(OSRRefP22_3x_0)</f>
        <v>32</v>
      </c>
      <c r="Q50" s="1"/>
      <c r="R50" s="5">
        <f t="shared" si="32"/>
        <v>4.6272196194111864E-4</v>
      </c>
      <c r="S50" s="1"/>
      <c r="T50" s="1">
        <f>SUM(OSRRefT22_3x_0)</f>
        <v>46</v>
      </c>
      <c r="U50" s="1"/>
      <c r="V50" s="5">
        <f t="shared" si="33"/>
        <v>3.4335789088683373E-4</v>
      </c>
      <c r="W50" s="1"/>
      <c r="X50" s="1">
        <f t="shared" si="34"/>
        <v>-14</v>
      </c>
      <c r="Y50" s="1"/>
      <c r="Z50" s="5">
        <f t="shared" si="35"/>
        <v>-0.30434782608695654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32</v>
      </c>
      <c r="E51" s="2"/>
      <c r="F51" s="7">
        <f t="shared" si="28"/>
        <v>6.4220816856680007E-4</v>
      </c>
      <c r="G51" s="2"/>
      <c r="H51" s="6">
        <v>31</v>
      </c>
      <c r="I51" s="2"/>
      <c r="J51" s="7">
        <f t="shared" si="29"/>
        <v>2.3139336124982271E-4</v>
      </c>
      <c r="K51" s="2"/>
      <c r="L51" s="6">
        <f t="shared" si="30"/>
        <v>1</v>
      </c>
      <c r="M51" s="2"/>
      <c r="N51" s="7">
        <f t="shared" si="31"/>
        <v>3.2258064516129031E-2</v>
      </c>
      <c r="O51" s="11"/>
      <c r="P51" s="6">
        <v>32</v>
      </c>
      <c r="Q51" s="2"/>
      <c r="R51" s="7">
        <f t="shared" si="32"/>
        <v>4.6272196194111864E-4</v>
      </c>
      <c r="S51" s="2"/>
      <c r="T51" s="6">
        <v>46</v>
      </c>
      <c r="U51" s="2"/>
      <c r="V51" s="7">
        <f t="shared" si="33"/>
        <v>3.4335789088683373E-4</v>
      </c>
      <c r="W51" s="2"/>
      <c r="X51" s="6">
        <f t="shared" si="34"/>
        <v>-14</v>
      </c>
      <c r="Y51" s="2"/>
      <c r="Z51" s="7">
        <f t="shared" si="35"/>
        <v>-0.30434782608695654</v>
      </c>
    </row>
    <row r="52" spans="1:26" s="29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395</v>
      </c>
      <c r="I52" s="1"/>
      <c r="J52" s="5">
        <f t="shared" si="29"/>
        <v>2.9483992804412895E-3</v>
      </c>
      <c r="K52" s="1"/>
      <c r="L52" s="1">
        <f t="shared" si="30"/>
        <v>-395</v>
      </c>
      <c r="M52" s="1"/>
      <c r="N52" s="5">
        <f t="shared" si="31"/>
        <v>-1</v>
      </c>
      <c r="O52" s="14"/>
      <c r="P52" s="1">
        <f>SUM(OSRRefP22_4x_0)</f>
        <v>0</v>
      </c>
      <c r="Q52" s="1"/>
      <c r="R52" s="5">
        <f t="shared" si="32"/>
        <v>0</v>
      </c>
      <c r="S52" s="1"/>
      <c r="T52" s="1">
        <f>SUM(OSRRefT22_4x_0)</f>
        <v>645</v>
      </c>
      <c r="U52" s="1"/>
      <c r="V52" s="5">
        <f t="shared" si="33"/>
        <v>4.8144747743914728E-3</v>
      </c>
      <c r="W52" s="1"/>
      <c r="X52" s="1">
        <f t="shared" si="34"/>
        <v>-645</v>
      </c>
      <c r="Y52" s="1"/>
      <c r="Z52" s="5">
        <f t="shared" si="35"/>
        <v>-1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395</v>
      </c>
      <c r="I53" s="2"/>
      <c r="J53" s="7">
        <f t="shared" si="29"/>
        <v>2.9483992804412895E-3</v>
      </c>
      <c r="K53" s="2"/>
      <c r="L53" s="6">
        <f t="shared" si="30"/>
        <v>-395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645</v>
      </c>
      <c r="U53" s="2"/>
      <c r="V53" s="7">
        <f t="shared" si="33"/>
        <v>4.8144747743914728E-3</v>
      </c>
      <c r="W53" s="2"/>
      <c r="X53" s="6">
        <f t="shared" si="34"/>
        <v>-645</v>
      </c>
      <c r="Y53" s="2"/>
      <c r="Z53" s="7">
        <f t="shared" si="35"/>
        <v>-1</v>
      </c>
    </row>
    <row r="54" spans="1:26" s="29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775.54</v>
      </c>
      <c r="E54" s="1"/>
      <c r="F54" s="5">
        <f t="shared" si="28"/>
        <v>1.5564316345321754E-2</v>
      </c>
      <c r="G54" s="1"/>
      <c r="H54" s="1">
        <f>SUM(OSRRefH22_5x_0)</f>
        <v>213</v>
      </c>
      <c r="I54" s="1"/>
      <c r="J54" s="5">
        <f t="shared" si="29"/>
        <v>1.5898963208455562E-3</v>
      </c>
      <c r="K54" s="1"/>
      <c r="L54" s="1">
        <f t="shared" si="30"/>
        <v>562.54</v>
      </c>
      <c r="M54" s="1"/>
      <c r="N54" s="5">
        <f t="shared" si="31"/>
        <v>2.6410328638497651</v>
      </c>
      <c r="O54" s="14"/>
      <c r="P54" s="1">
        <f>SUM(OSRRefP22_5x_0)</f>
        <v>988.56</v>
      </c>
      <c r="Q54" s="1"/>
      <c r="R54" s="5">
        <f t="shared" si="32"/>
        <v>1.4294638209266006E-2</v>
      </c>
      <c r="S54" s="1"/>
      <c r="T54" s="1">
        <f>SUM(OSRRefT22_5x_0)</f>
        <v>426</v>
      </c>
      <c r="U54" s="1"/>
      <c r="V54" s="5">
        <f t="shared" si="33"/>
        <v>3.1797926416911124E-3</v>
      </c>
      <c r="W54" s="1"/>
      <c r="X54" s="1">
        <f t="shared" si="34"/>
        <v>562.55999999999995</v>
      </c>
      <c r="Y54" s="1"/>
      <c r="Z54" s="5">
        <f t="shared" si="35"/>
        <v>1.3205633802816901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775.54</v>
      </c>
      <c r="E55" s="2"/>
      <c r="F55" s="7">
        <f t="shared" si="28"/>
        <v>1.5564316345321754E-2</v>
      </c>
      <c r="G55" s="2"/>
      <c r="H55" s="6">
        <v>213</v>
      </c>
      <c r="I55" s="2"/>
      <c r="J55" s="7">
        <f t="shared" si="29"/>
        <v>1.5898963208455562E-3</v>
      </c>
      <c r="K55" s="2"/>
      <c r="L55" s="6">
        <f t="shared" si="30"/>
        <v>562.54</v>
      </c>
      <c r="M55" s="2"/>
      <c r="N55" s="7">
        <f t="shared" si="31"/>
        <v>2.6410328638497651</v>
      </c>
      <c r="O55" s="11"/>
      <c r="P55" s="6">
        <v>988.56</v>
      </c>
      <c r="Q55" s="2"/>
      <c r="R55" s="7">
        <f t="shared" si="32"/>
        <v>1.4294638209266006E-2</v>
      </c>
      <c r="S55" s="2"/>
      <c r="T55" s="6">
        <v>426</v>
      </c>
      <c r="U55" s="2"/>
      <c r="V55" s="7">
        <f t="shared" si="33"/>
        <v>3.1797926416911124E-3</v>
      </c>
      <c r="W55" s="2"/>
      <c r="X55" s="6">
        <f t="shared" si="34"/>
        <v>562.55999999999995</v>
      </c>
      <c r="Y55" s="2"/>
      <c r="Z55" s="7">
        <f t="shared" si="35"/>
        <v>1.3205633802816901</v>
      </c>
    </row>
    <row r="56" spans="1:26" s="29" customFormat="1" outlineLevel="1" collapsed="1" x14ac:dyDescent="0.25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2222.02</v>
      </c>
      <c r="E56" s="1"/>
      <c r="F56" s="5">
        <f t="shared" si="28"/>
        <v>4.4593731084962535E-2</v>
      </c>
      <c r="G56" s="1"/>
      <c r="H56" s="1">
        <f>SUM(OSRRefH22_6x_0)</f>
        <v>10773</v>
      </c>
      <c r="I56" s="1"/>
      <c r="J56" s="5">
        <f t="shared" si="29"/>
        <v>8.0412925185301298E-2</v>
      </c>
      <c r="K56" s="1"/>
      <c r="L56" s="1">
        <f t="shared" si="30"/>
        <v>-8550.98</v>
      </c>
      <c r="M56" s="1"/>
      <c r="N56" s="5">
        <f t="shared" si="31"/>
        <v>-0.79374176181193723</v>
      </c>
      <c r="O56" s="14"/>
      <c r="P56" s="1">
        <f>SUM(OSRRefP22_6x_0)</f>
        <v>2222.02</v>
      </c>
      <c r="Q56" s="1"/>
      <c r="R56" s="5">
        <f t="shared" si="32"/>
        <v>3.2130545433512639E-2</v>
      </c>
      <c r="S56" s="1"/>
      <c r="T56" s="1">
        <f>SUM(OSRRefT22_6x_0)</f>
        <v>10773</v>
      </c>
      <c r="U56" s="1"/>
      <c r="V56" s="5">
        <f t="shared" si="33"/>
        <v>8.0412925185301298E-2</v>
      </c>
      <c r="W56" s="1"/>
      <c r="X56" s="1">
        <f t="shared" si="34"/>
        <v>-8550.98</v>
      </c>
      <c r="Y56" s="1"/>
      <c r="Z56" s="5">
        <f t="shared" si="35"/>
        <v>-0.79374176181193723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2222.02</v>
      </c>
      <c r="E57" s="2"/>
      <c r="F57" s="7">
        <f t="shared" si="28"/>
        <v>4.4593731084962535E-2</v>
      </c>
      <c r="G57" s="2"/>
      <c r="H57" s="6">
        <v>10773</v>
      </c>
      <c r="I57" s="2"/>
      <c r="J57" s="7">
        <f t="shared" si="29"/>
        <v>8.0412925185301298E-2</v>
      </c>
      <c r="K57" s="2"/>
      <c r="L57" s="6">
        <f t="shared" si="30"/>
        <v>-8550.98</v>
      </c>
      <c r="M57" s="2"/>
      <c r="N57" s="7">
        <f t="shared" si="31"/>
        <v>-0.79374176181193723</v>
      </c>
      <c r="O57" s="11"/>
      <c r="P57" s="6">
        <v>2222.02</v>
      </c>
      <c r="Q57" s="2"/>
      <c r="R57" s="7">
        <f t="shared" si="32"/>
        <v>3.2130545433512639E-2</v>
      </c>
      <c r="S57" s="2"/>
      <c r="T57" s="6">
        <v>10773</v>
      </c>
      <c r="U57" s="2"/>
      <c r="V57" s="7">
        <f t="shared" si="33"/>
        <v>8.0412925185301298E-2</v>
      </c>
      <c r="W57" s="2"/>
      <c r="X57" s="6">
        <f t="shared" si="34"/>
        <v>-8550.98</v>
      </c>
      <c r="Y57" s="2"/>
      <c r="Z57" s="7">
        <f t="shared" si="35"/>
        <v>-0.79374176181193723</v>
      </c>
    </row>
    <row r="58" spans="1:26" s="29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2.2392905927402199E-3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400</v>
      </c>
      <c r="U58" s="1"/>
      <c r="V58" s="5">
        <f t="shared" si="33"/>
        <v>2.985720790320293E-3</v>
      </c>
      <c r="W58" s="1"/>
      <c r="X58" s="1">
        <f t="shared" si="34"/>
        <v>-400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300</v>
      </c>
      <c r="I59" s="2"/>
      <c r="J59" s="7">
        <f t="shared" si="29"/>
        <v>2.2392905927402199E-3</v>
      </c>
      <c r="K59" s="2"/>
      <c r="L59" s="6">
        <f t="shared" si="30"/>
        <v>-300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400</v>
      </c>
      <c r="U59" s="2"/>
      <c r="V59" s="7">
        <f t="shared" si="33"/>
        <v>2.985720790320293E-3</v>
      </c>
      <c r="W59" s="2"/>
      <c r="X59" s="6">
        <f t="shared" si="34"/>
        <v>-400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675.21</v>
      </c>
      <c r="E60" s="1"/>
      <c r="F60" s="5">
        <f t="shared" si="28"/>
        <v>1.3550793046812159E-2</v>
      </c>
      <c r="G60" s="1"/>
      <c r="H60" s="1">
        <f>SUM(OSRRefH22_8x_0)</f>
        <v>690</v>
      </c>
      <c r="I60" s="1"/>
      <c r="J60" s="5">
        <f t="shared" si="29"/>
        <v>5.1503683633025059E-3</v>
      </c>
      <c r="K60" s="1"/>
      <c r="L60" s="1">
        <f t="shared" si="30"/>
        <v>-14.789999999999964</v>
      </c>
      <c r="M60" s="1"/>
      <c r="N60" s="5">
        <f t="shared" si="31"/>
        <v>-2.14347826086956E-2</v>
      </c>
      <c r="O60" s="14"/>
      <c r="P60" s="1">
        <f>SUM(OSRRefP22_8x_0)</f>
        <v>1056.76</v>
      </c>
      <c r="Q60" s="1"/>
      <c r="R60" s="5">
        <f t="shared" si="32"/>
        <v>1.5280814390653017E-2</v>
      </c>
      <c r="S60" s="1"/>
      <c r="T60" s="1">
        <f>SUM(OSRRefT22_8x_0)</f>
        <v>1380</v>
      </c>
      <c r="U60" s="1"/>
      <c r="V60" s="5">
        <f t="shared" si="33"/>
        <v>1.0300736726605012E-2</v>
      </c>
      <c r="W60" s="1"/>
      <c r="X60" s="1">
        <f t="shared" si="34"/>
        <v>-323.24</v>
      </c>
      <c r="Y60" s="1"/>
      <c r="Z60" s="5">
        <f t="shared" si="35"/>
        <v>-0.23423188405797102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675.21</v>
      </c>
      <c r="E61" s="2"/>
      <c r="F61" s="7">
        <f t="shared" si="28"/>
        <v>1.3550793046812159E-2</v>
      </c>
      <c r="G61" s="2"/>
      <c r="H61" s="6">
        <v>690</v>
      </c>
      <c r="I61" s="2"/>
      <c r="J61" s="7">
        <f t="shared" si="29"/>
        <v>5.1503683633025059E-3</v>
      </c>
      <c r="K61" s="2"/>
      <c r="L61" s="6">
        <f t="shared" si="30"/>
        <v>-14.789999999999964</v>
      </c>
      <c r="M61" s="2"/>
      <c r="N61" s="7">
        <f t="shared" si="31"/>
        <v>-2.14347826086956E-2</v>
      </c>
      <c r="O61" s="11"/>
      <c r="P61" s="6">
        <v>1056.76</v>
      </c>
      <c r="Q61" s="2"/>
      <c r="R61" s="7">
        <f t="shared" si="32"/>
        <v>1.5280814390653017E-2</v>
      </c>
      <c r="S61" s="2"/>
      <c r="T61" s="6">
        <v>1380</v>
      </c>
      <c r="U61" s="2"/>
      <c r="V61" s="7">
        <f t="shared" si="33"/>
        <v>1.0300736726605012E-2</v>
      </c>
      <c r="W61" s="2"/>
      <c r="X61" s="6">
        <f t="shared" si="34"/>
        <v>-323.24</v>
      </c>
      <c r="Y61" s="2"/>
      <c r="Z61" s="7">
        <f t="shared" si="35"/>
        <v>-0.23423188405797102</v>
      </c>
    </row>
    <row r="62" spans="1:26" s="29" customFormat="1" outlineLevel="1" collapsed="1" x14ac:dyDescent="0.25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80.650000000000006</v>
      </c>
      <c r="E62" s="1"/>
      <c r="F62" s="5">
        <f t="shared" si="28"/>
        <v>1.6185652748410134E-3</v>
      </c>
      <c r="G62" s="1"/>
      <c r="H62" s="1">
        <f>SUM(OSRRefH22_9x_0)</f>
        <v>430</v>
      </c>
      <c r="I62" s="1"/>
      <c r="J62" s="5">
        <f t="shared" si="29"/>
        <v>3.2096498495943152E-3</v>
      </c>
      <c r="K62" s="1"/>
      <c r="L62" s="1">
        <f t="shared" si="30"/>
        <v>-349.35</v>
      </c>
      <c r="M62" s="1"/>
      <c r="N62" s="5">
        <f t="shared" si="31"/>
        <v>-0.81244186046511635</v>
      </c>
      <c r="O62" s="14"/>
      <c r="P62" s="1">
        <f>SUM(OSRRefP22_9x_0)</f>
        <v>6379.3</v>
      </c>
      <c r="Q62" s="1"/>
      <c r="R62" s="5">
        <f t="shared" si="32"/>
        <v>9.2245069119093068E-2</v>
      </c>
      <c r="S62" s="1"/>
      <c r="T62" s="1">
        <f>SUM(OSRRefT22_9x_0)</f>
        <v>5280</v>
      </c>
      <c r="U62" s="1"/>
      <c r="V62" s="5">
        <f t="shared" si="33"/>
        <v>3.9411514432227873E-2</v>
      </c>
      <c r="W62" s="1"/>
      <c r="X62" s="1">
        <f t="shared" si="34"/>
        <v>1099.3000000000002</v>
      </c>
      <c r="Y62" s="1"/>
      <c r="Z62" s="5">
        <f t="shared" si="35"/>
        <v>0.20820075757575762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80.650000000000006</v>
      </c>
      <c r="E63" s="2"/>
      <c r="F63" s="7">
        <f t="shared" si="28"/>
        <v>1.6185652748410134E-3</v>
      </c>
      <c r="G63" s="2"/>
      <c r="H63" s="6">
        <v>430</v>
      </c>
      <c r="I63" s="2"/>
      <c r="J63" s="7">
        <f t="shared" si="29"/>
        <v>3.2096498495943152E-3</v>
      </c>
      <c r="K63" s="2"/>
      <c r="L63" s="6">
        <f t="shared" si="30"/>
        <v>-349.35</v>
      </c>
      <c r="M63" s="2"/>
      <c r="N63" s="7">
        <f t="shared" si="31"/>
        <v>-0.81244186046511635</v>
      </c>
      <c r="O63" s="11"/>
      <c r="P63" s="6">
        <v>6379.3</v>
      </c>
      <c r="Q63" s="2"/>
      <c r="R63" s="7">
        <f t="shared" si="32"/>
        <v>9.2245069119093068E-2</v>
      </c>
      <c r="S63" s="2"/>
      <c r="T63" s="6">
        <v>5280</v>
      </c>
      <c r="U63" s="2"/>
      <c r="V63" s="7">
        <f t="shared" si="33"/>
        <v>3.9411514432227873E-2</v>
      </c>
      <c r="W63" s="2"/>
      <c r="X63" s="6">
        <f t="shared" si="34"/>
        <v>1099.3000000000002</v>
      </c>
      <c r="Y63" s="2"/>
      <c r="Z63" s="7">
        <f t="shared" si="35"/>
        <v>0.20820075757575762</v>
      </c>
    </row>
    <row r="64" spans="1:26" s="29" customFormat="1" outlineLevel="1" collapsed="1" x14ac:dyDescent="0.25">
      <c r="A64" s="28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1.1840713107950377E-4</v>
      </c>
      <c r="G64" s="1"/>
      <c r="H64" s="1">
        <f>SUM(OSRRefH22_10x_0)</f>
        <v>7</v>
      </c>
      <c r="I64" s="1"/>
      <c r="J64" s="5">
        <f t="shared" si="29"/>
        <v>5.2250113830605128E-5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11.8</v>
      </c>
      <c r="Q64" s="1"/>
      <c r="R64" s="5">
        <f t="shared" si="32"/>
        <v>1.706287234657875E-4</v>
      </c>
      <c r="S64" s="1"/>
      <c r="T64" s="1">
        <f>SUM(OSRRefT22_10x_0)</f>
        <v>14</v>
      </c>
      <c r="U64" s="1"/>
      <c r="V64" s="5">
        <f t="shared" si="33"/>
        <v>1.0450022766121026E-4</v>
      </c>
      <c r="W64" s="1"/>
      <c r="X64" s="1">
        <f t="shared" si="34"/>
        <v>-2.1999999999999993</v>
      </c>
      <c r="Y64" s="1"/>
      <c r="Z64" s="5">
        <f t="shared" si="35"/>
        <v>-0.15714285714285708</v>
      </c>
    </row>
    <row r="65" spans="1:26" s="24" customFormat="1" hidden="1" outlineLevel="2" x14ac:dyDescent="0.25">
      <c r="A65" s="27"/>
      <c r="B65" s="11" t="str">
        <f>CONCATENATE("          ", "6314", " - ", "LIABILITY INSURANCE")</f>
        <v xml:space="preserve">          6314 - LIABILITY INSURANCE</v>
      </c>
      <c r="C65" s="11"/>
      <c r="D65" s="6">
        <v>5.9</v>
      </c>
      <c r="E65" s="2"/>
      <c r="F65" s="7">
        <f t="shared" si="28"/>
        <v>1.1840713107950377E-4</v>
      </c>
      <c r="G65" s="2"/>
      <c r="H65" s="6">
        <v>7</v>
      </c>
      <c r="I65" s="2"/>
      <c r="J65" s="7">
        <f t="shared" si="29"/>
        <v>5.2250113830605128E-5</v>
      </c>
      <c r="K65" s="2"/>
      <c r="L65" s="6">
        <f t="shared" si="30"/>
        <v>-1.0999999999999996</v>
      </c>
      <c r="M65" s="2"/>
      <c r="N65" s="7">
        <f t="shared" si="31"/>
        <v>-0.15714285714285708</v>
      </c>
      <c r="O65" s="11"/>
      <c r="P65" s="6">
        <v>11.8</v>
      </c>
      <c r="Q65" s="2"/>
      <c r="R65" s="7">
        <f t="shared" si="32"/>
        <v>1.706287234657875E-4</v>
      </c>
      <c r="S65" s="2"/>
      <c r="T65" s="6">
        <v>14</v>
      </c>
      <c r="U65" s="2"/>
      <c r="V65" s="7">
        <f t="shared" si="33"/>
        <v>1.0450022766121026E-4</v>
      </c>
      <c r="W65" s="2"/>
      <c r="X65" s="6">
        <f t="shared" si="34"/>
        <v>-2.1999999999999993</v>
      </c>
      <c r="Y65" s="2"/>
      <c r="Z65" s="7">
        <f t="shared" si="35"/>
        <v>-0.15714285714285708</v>
      </c>
    </row>
    <row r="66" spans="1:26" s="29" customFormat="1" outlineLevel="1" collapsed="1" x14ac:dyDescent="0.25">
      <c r="A66" s="28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3533.81</v>
      </c>
      <c r="E66" s="1"/>
      <c r="F66" s="5">
        <f t="shared" si="28"/>
        <v>7.0920051505095116E-2</v>
      </c>
      <c r="G66" s="1"/>
      <c r="H66" s="1">
        <f>SUM(OSRRefH22_11x_0)</f>
        <v>10718</v>
      </c>
      <c r="I66" s="1"/>
      <c r="J66" s="5">
        <f t="shared" si="29"/>
        <v>8.000238857663225E-2</v>
      </c>
      <c r="K66" s="1"/>
      <c r="L66" s="1">
        <f t="shared" si="30"/>
        <v>-7184.1900000000005</v>
      </c>
      <c r="M66" s="1"/>
      <c r="N66" s="5">
        <f t="shared" si="31"/>
        <v>-0.67029203209554022</v>
      </c>
      <c r="O66" s="14"/>
      <c r="P66" s="1">
        <f>SUM(OSRRefP22_11x_0)</f>
        <v>4685.49</v>
      </c>
      <c r="Q66" s="1"/>
      <c r="R66" s="5">
        <f t="shared" si="32"/>
        <v>6.7752472670484121E-2</v>
      </c>
      <c r="S66" s="1"/>
      <c r="T66" s="1">
        <f>SUM(OSRRefT22_11x_0)</f>
        <v>10718</v>
      </c>
      <c r="U66" s="1"/>
      <c r="V66" s="5">
        <f t="shared" si="33"/>
        <v>8.000238857663225E-2</v>
      </c>
      <c r="W66" s="1"/>
      <c r="X66" s="1">
        <f t="shared" si="34"/>
        <v>-6032.51</v>
      </c>
      <c r="Y66" s="1"/>
      <c r="Z66" s="5">
        <f t="shared" si="35"/>
        <v>-0.56283914909498045</v>
      </c>
    </row>
    <row r="67" spans="1:26" s="24" customFormat="1" hidden="1" outlineLevel="2" x14ac:dyDescent="0.25">
      <c r="A67" s="27"/>
      <c r="B67" s="11" t="str">
        <f>CONCATENATE("          ", "6387", " - ", "COMMISSION DUE HOUSING")</f>
        <v xml:space="preserve">          6387 - COMMISSION DUE HOUSING</v>
      </c>
      <c r="C67" s="11"/>
      <c r="D67" s="6">
        <v>3533.81</v>
      </c>
      <c r="E67" s="2"/>
      <c r="F67" s="7">
        <f t="shared" si="28"/>
        <v>7.0920051505095116E-2</v>
      </c>
      <c r="G67" s="2"/>
      <c r="H67" s="6">
        <v>10718</v>
      </c>
      <c r="I67" s="2"/>
      <c r="J67" s="7">
        <f t="shared" si="29"/>
        <v>8.000238857663225E-2</v>
      </c>
      <c r="K67" s="2"/>
      <c r="L67" s="6">
        <f t="shared" si="30"/>
        <v>-7184.1900000000005</v>
      </c>
      <c r="M67" s="2"/>
      <c r="N67" s="7">
        <f t="shared" si="31"/>
        <v>-0.67029203209554022</v>
      </c>
      <c r="O67" s="11"/>
      <c r="P67" s="6">
        <v>4685.49</v>
      </c>
      <c r="Q67" s="2"/>
      <c r="R67" s="7">
        <f t="shared" si="32"/>
        <v>6.7752472670484121E-2</v>
      </c>
      <c r="S67" s="2"/>
      <c r="T67" s="6">
        <v>10718</v>
      </c>
      <c r="U67" s="2"/>
      <c r="V67" s="7">
        <f t="shared" si="33"/>
        <v>8.000238857663225E-2</v>
      </c>
      <c r="W67" s="2"/>
      <c r="X67" s="6">
        <f t="shared" si="34"/>
        <v>-6032.51</v>
      </c>
      <c r="Y67" s="2"/>
      <c r="Z67" s="7">
        <f t="shared" si="35"/>
        <v>-0.56283914909498045</v>
      </c>
    </row>
    <row r="68" spans="1:26" s="29" customFormat="1" outlineLevel="1" collapsed="1" x14ac:dyDescent="0.25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2473.65</v>
      </c>
      <c r="E68" s="1"/>
      <c r="F68" s="5">
        <f t="shared" si="28"/>
        <v>4.9643694880477034E-2</v>
      </c>
      <c r="G68" s="1"/>
      <c r="H68" s="1">
        <f>SUM(OSRRefH22_12x_0)</f>
        <v>2308</v>
      </c>
      <c r="I68" s="1"/>
      <c r="J68" s="5">
        <f t="shared" si="29"/>
        <v>1.7227608960148091E-2</v>
      </c>
      <c r="K68" s="1"/>
      <c r="L68" s="1">
        <f t="shared" si="30"/>
        <v>165.65000000000009</v>
      </c>
      <c r="M68" s="1"/>
      <c r="N68" s="5">
        <f t="shared" si="31"/>
        <v>7.1772097053726211E-2</v>
      </c>
      <c r="O68" s="14"/>
      <c r="P68" s="1">
        <f>SUM(OSRRefP22_12x_0)</f>
        <v>2475.3000000000002</v>
      </c>
      <c r="Q68" s="1"/>
      <c r="R68" s="5">
        <f t="shared" si="32"/>
        <v>3.5792989762276593E-2</v>
      </c>
      <c r="S68" s="1"/>
      <c r="T68" s="1">
        <f>SUM(OSRRefT22_12x_0)</f>
        <v>5899</v>
      </c>
      <c r="U68" s="1"/>
      <c r="V68" s="5">
        <f t="shared" si="33"/>
        <v>4.4031917355248522E-2</v>
      </c>
      <c r="W68" s="1"/>
      <c r="X68" s="1">
        <f t="shared" si="34"/>
        <v>-3423.7</v>
      </c>
      <c r="Y68" s="1"/>
      <c r="Z68" s="5">
        <f t="shared" si="35"/>
        <v>-0.58038650618748933</v>
      </c>
    </row>
    <row r="69" spans="1:26" s="24" customFormat="1" hidden="1" outlineLevel="2" x14ac:dyDescent="0.25">
      <c r="A69" s="27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/>
      <c r="Q69" s="2"/>
      <c r="R69" s="7">
        <f t="shared" si="32"/>
        <v>0</v>
      </c>
      <c r="S69" s="2"/>
      <c r="T69" s="6">
        <v>3083</v>
      </c>
      <c r="U69" s="2"/>
      <c r="V69" s="7">
        <f t="shared" si="33"/>
        <v>2.3012442991393659E-2</v>
      </c>
      <c r="W69" s="2"/>
      <c r="X69" s="6">
        <f t="shared" si="34"/>
        <v>-3083</v>
      </c>
      <c r="Y69" s="2"/>
      <c r="Z69" s="7">
        <f t="shared" si="35"/>
        <v>-1</v>
      </c>
    </row>
    <row r="70" spans="1:26" s="24" customFormat="1" hidden="1" outlineLevel="2" x14ac:dyDescent="0.25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2473.65</v>
      </c>
      <c r="E70" s="2"/>
      <c r="F70" s="7">
        <f t="shared" si="28"/>
        <v>4.9643694880477034E-2</v>
      </c>
      <c r="G70" s="2"/>
      <c r="H70" s="6">
        <v>1858</v>
      </c>
      <c r="I70" s="2"/>
      <c r="J70" s="7">
        <f t="shared" si="29"/>
        <v>1.3868673071037762E-2</v>
      </c>
      <c r="K70" s="2"/>
      <c r="L70" s="6">
        <f t="shared" si="30"/>
        <v>615.65000000000009</v>
      </c>
      <c r="M70" s="2"/>
      <c r="N70" s="7">
        <f t="shared" si="31"/>
        <v>0.3313509149623251</v>
      </c>
      <c r="O70" s="11"/>
      <c r="P70" s="6">
        <v>2475.3000000000002</v>
      </c>
      <c r="Q70" s="2"/>
      <c r="R70" s="7">
        <f t="shared" si="32"/>
        <v>3.5792989762276593E-2</v>
      </c>
      <c r="S70" s="2"/>
      <c r="T70" s="6">
        <v>1916</v>
      </c>
      <c r="U70" s="2"/>
      <c r="V70" s="7">
        <f t="shared" si="33"/>
        <v>1.4301602585634204E-2</v>
      </c>
      <c r="W70" s="2"/>
      <c r="X70" s="6">
        <f t="shared" si="34"/>
        <v>559.30000000000018</v>
      </c>
      <c r="Y70" s="2"/>
      <c r="Z70" s="7">
        <f t="shared" si="35"/>
        <v>0.29191022964509405</v>
      </c>
    </row>
    <row r="71" spans="1:26" s="24" customFormat="1" hidden="1" outlineLevel="2" x14ac:dyDescent="0.25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450</v>
      </c>
      <c r="I71" s="2"/>
      <c r="J71" s="7">
        <f t="shared" si="29"/>
        <v>3.35893588911033E-3</v>
      </c>
      <c r="K71" s="2"/>
      <c r="L71" s="6">
        <f t="shared" si="30"/>
        <v>-450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900</v>
      </c>
      <c r="U71" s="2"/>
      <c r="V71" s="7">
        <f t="shared" si="33"/>
        <v>6.71787177822066E-3</v>
      </c>
      <c r="W71" s="2"/>
      <c r="X71" s="6">
        <f t="shared" si="34"/>
        <v>-900</v>
      </c>
      <c r="Y71" s="2"/>
      <c r="Z71" s="7">
        <f t="shared" si="35"/>
        <v>-1</v>
      </c>
    </row>
    <row r="72" spans="1:26" s="29" customFormat="1" outlineLevel="1" collapsed="1" x14ac:dyDescent="0.25">
      <c r="A72" s="28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7432.2300000000005</v>
      </c>
      <c r="E72" s="1"/>
      <c r="F72" s="5">
        <f t="shared" ref="F72:F76" si="36">IF(D$12=0,0,D72/D$12)</f>
        <v>0.14915746302085089</v>
      </c>
      <c r="G72" s="1"/>
      <c r="H72" s="1">
        <f>SUM(OSRRefH22_13x_0)</f>
        <v>19075</v>
      </c>
      <c r="I72" s="1"/>
      <c r="J72" s="5">
        <f t="shared" ref="J72:J76" si="37">IF(H$12=0,0,H72/H$12)</f>
        <v>0.14238156018839898</v>
      </c>
      <c r="K72" s="1"/>
      <c r="L72" s="1">
        <f t="shared" ref="L72:L76" si="38">+D72-H72</f>
        <v>-11642.77</v>
      </c>
      <c r="M72" s="1"/>
      <c r="N72" s="5">
        <f t="shared" ref="N72:N76" si="39">IF(H72=0,0,L72/H72)</f>
        <v>-0.61036802096985587</v>
      </c>
      <c r="O72" s="14"/>
      <c r="P72" s="1">
        <f>SUM(OSRRefP22_13x_0)</f>
        <v>18584.900000000001</v>
      </c>
      <c r="Q72" s="1"/>
      <c r="R72" s="5">
        <f t="shared" ref="R72:R76" si="40">IF(P$12=0,0,P72/P$12)</f>
        <v>0.26873879345248425</v>
      </c>
      <c r="S72" s="1"/>
      <c r="T72" s="1">
        <f>SUM(OSRRefT22_13x_0)</f>
        <v>38150</v>
      </c>
      <c r="U72" s="1"/>
      <c r="V72" s="5">
        <f t="shared" ref="V72:V76" si="41">IF(T$12=0,0,T72/T$12)</f>
        <v>0.28476312037679796</v>
      </c>
      <c r="W72" s="1"/>
      <c r="X72" s="1">
        <f t="shared" ref="X72:X76" si="42">+P72-T72</f>
        <v>-19565.099999999999</v>
      </c>
      <c r="Y72" s="1"/>
      <c r="Z72" s="5">
        <f t="shared" ref="Z72:Z76" si="43">IF(T72=0,0,X72/T72)</f>
        <v>-0.51284665792922668</v>
      </c>
    </row>
    <row r="73" spans="1:26" s="24" customFormat="1" hidden="1" outlineLevel="2" x14ac:dyDescent="0.25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910.43</v>
      </c>
      <c r="E73" s="2"/>
      <c r="F73" s="7">
        <f t="shared" si="36"/>
        <v>1.8271424465883493E-2</v>
      </c>
      <c r="G73" s="2"/>
      <c r="H73" s="6">
        <v>1750</v>
      </c>
      <c r="I73" s="2"/>
      <c r="J73" s="7">
        <f t="shared" si="37"/>
        <v>1.3062528457651284E-2</v>
      </c>
      <c r="K73" s="2"/>
      <c r="L73" s="6">
        <f t="shared" si="38"/>
        <v>-839.57</v>
      </c>
      <c r="M73" s="2"/>
      <c r="N73" s="7">
        <f t="shared" si="39"/>
        <v>-0.47975428571428574</v>
      </c>
      <c r="O73" s="11"/>
      <c r="P73" s="6">
        <v>2132.11</v>
      </c>
      <c r="Q73" s="2"/>
      <c r="R73" s="7">
        <f t="shared" si="40"/>
        <v>3.0830441321071204E-2</v>
      </c>
      <c r="S73" s="2"/>
      <c r="T73" s="6">
        <v>3500</v>
      </c>
      <c r="U73" s="2"/>
      <c r="V73" s="7">
        <f t="shared" si="41"/>
        <v>2.6125056915302567E-2</v>
      </c>
      <c r="W73" s="2"/>
      <c r="X73" s="6">
        <f t="shared" si="42"/>
        <v>-1367.8899999999999</v>
      </c>
      <c r="Y73" s="2"/>
      <c r="Z73" s="7">
        <f t="shared" si="43"/>
        <v>-0.39082571428571428</v>
      </c>
    </row>
    <row r="74" spans="1:26" s="24" customFormat="1" hidden="1" outlineLevel="2" x14ac:dyDescent="0.25">
      <c r="A74" s="27"/>
      <c r="B74" s="11" t="str">
        <f>CONCATENATE("          ", "6284", " - ", "TRASH REMOVAL EXPENSE")</f>
        <v xml:space="preserve">          6284 - TRASH REMOVAL EXPENSE</v>
      </c>
      <c r="C74" s="11"/>
      <c r="D74" s="6"/>
      <c r="E74" s="2"/>
      <c r="F74" s="7">
        <f t="shared" si="36"/>
        <v>0</v>
      </c>
      <c r="G74" s="2"/>
      <c r="H74" s="6">
        <v>500</v>
      </c>
      <c r="I74" s="2"/>
      <c r="J74" s="7">
        <f t="shared" si="37"/>
        <v>3.7321509879003666E-3</v>
      </c>
      <c r="K74" s="2"/>
      <c r="L74" s="6">
        <f t="shared" si="38"/>
        <v>-500</v>
      </c>
      <c r="M74" s="2"/>
      <c r="N74" s="7">
        <f t="shared" si="39"/>
        <v>-1</v>
      </c>
      <c r="O74" s="11"/>
      <c r="P74" s="6"/>
      <c r="Q74" s="2"/>
      <c r="R74" s="7">
        <f t="shared" si="40"/>
        <v>0</v>
      </c>
      <c r="S74" s="2"/>
      <c r="T74" s="6">
        <v>1000</v>
      </c>
      <c r="U74" s="2"/>
      <c r="V74" s="7">
        <f t="shared" si="41"/>
        <v>7.4643019758007332E-3</v>
      </c>
      <c r="W74" s="2"/>
      <c r="X74" s="6">
        <f t="shared" si="42"/>
        <v>-1000</v>
      </c>
      <c r="Y74" s="2"/>
      <c r="Z74" s="7">
        <f t="shared" si="43"/>
        <v>-1</v>
      </c>
    </row>
    <row r="75" spans="1:26" s="24" customFormat="1" hidden="1" outlineLevel="2" x14ac:dyDescent="0.25">
      <c r="A75" s="27"/>
      <c r="B75" s="11" t="str">
        <f>CONCATENATE("          ", "6285", " - ", "JANITORIAL SERVICES")</f>
        <v xml:space="preserve">          6285 - JANITORIAL SERVICES</v>
      </c>
      <c r="C75" s="11"/>
      <c r="D75" s="6">
        <v>4157.05</v>
      </c>
      <c r="E75" s="2"/>
      <c r="F75" s="7">
        <f t="shared" si="36"/>
        <v>8.3427858348144257E-2</v>
      </c>
      <c r="G75" s="2"/>
      <c r="H75" s="6">
        <v>12325</v>
      </c>
      <c r="I75" s="2"/>
      <c r="J75" s="7">
        <f t="shared" si="37"/>
        <v>9.1997521851744035E-2</v>
      </c>
      <c r="K75" s="2"/>
      <c r="L75" s="6">
        <f t="shared" si="38"/>
        <v>-8167.95</v>
      </c>
      <c r="M75" s="2"/>
      <c r="N75" s="7">
        <f t="shared" si="39"/>
        <v>-0.6627139959432049</v>
      </c>
      <c r="O75" s="11"/>
      <c r="P75" s="6">
        <v>12471.15</v>
      </c>
      <c r="Q75" s="2"/>
      <c r="R75" s="7">
        <f t="shared" si="40"/>
        <v>0.18033359361443693</v>
      </c>
      <c r="S75" s="2"/>
      <c r="T75" s="6">
        <v>24650</v>
      </c>
      <c r="U75" s="2"/>
      <c r="V75" s="7">
        <f t="shared" si="41"/>
        <v>0.18399504370348807</v>
      </c>
      <c r="W75" s="2"/>
      <c r="X75" s="6">
        <f t="shared" si="42"/>
        <v>-12178.85</v>
      </c>
      <c r="Y75" s="2"/>
      <c r="Z75" s="7">
        <f t="shared" si="43"/>
        <v>-0.4940709939148073</v>
      </c>
    </row>
    <row r="76" spans="1:26" s="24" customFormat="1" hidden="1" outlineLevel="2" x14ac:dyDescent="0.25">
      <c r="A76" s="27"/>
      <c r="B76" s="11" t="str">
        <f>CONCATENATE("          ", "6286", " - ", "LAUNDRY EXPENSE")</f>
        <v xml:space="preserve">          6286 - LAUNDRY EXPENSE</v>
      </c>
      <c r="C76" s="11"/>
      <c r="D76" s="6">
        <v>2364.75</v>
      </c>
      <c r="E76" s="2"/>
      <c r="F76" s="7">
        <f t="shared" si="36"/>
        <v>4.7458180206823138E-2</v>
      </c>
      <c r="G76" s="2"/>
      <c r="H76" s="6">
        <v>4500</v>
      </c>
      <c r="I76" s="2"/>
      <c r="J76" s="7">
        <f t="shared" si="37"/>
        <v>3.3589358891103295E-2</v>
      </c>
      <c r="K76" s="2"/>
      <c r="L76" s="6">
        <f t="shared" si="38"/>
        <v>-2135.25</v>
      </c>
      <c r="M76" s="2"/>
      <c r="N76" s="7">
        <f t="shared" si="39"/>
        <v>-0.47449999999999998</v>
      </c>
      <c r="O76" s="11"/>
      <c r="P76" s="6">
        <v>3981.64</v>
      </c>
      <c r="Q76" s="2"/>
      <c r="R76" s="7">
        <f t="shared" si="40"/>
        <v>5.7574758516976111E-2</v>
      </c>
      <c r="S76" s="2"/>
      <c r="T76" s="6">
        <v>9000</v>
      </c>
      <c r="U76" s="2"/>
      <c r="V76" s="7">
        <f t="shared" si="41"/>
        <v>6.717871778220659E-2</v>
      </c>
      <c r="W76" s="2"/>
      <c r="X76" s="6">
        <f t="shared" si="42"/>
        <v>-5018.3600000000006</v>
      </c>
      <c r="Y76" s="2"/>
      <c r="Z76" s="7">
        <f t="shared" si="43"/>
        <v>-0.55759555555555562</v>
      </c>
    </row>
    <row r="77" spans="1:26" s="29" customFormat="1" outlineLevel="1" collapsed="1" x14ac:dyDescent="0.25">
      <c r="A77" s="28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19137.71</v>
      </c>
      <c r="E77" s="1"/>
      <c r="F77" s="5">
        <f t="shared" ref="F77:F87" si="44">IF(D$12=0,0,D77/D$12)</f>
        <v>0.38407480280195422</v>
      </c>
      <c r="G77" s="1"/>
      <c r="H77" s="1">
        <f>SUM(OSRRefH22_14x_0)</f>
        <v>27368</v>
      </c>
      <c r="I77" s="1"/>
      <c r="J77" s="5">
        <f t="shared" ref="J77:J87" si="45">IF(H$12=0,0,H77/H$12)</f>
        <v>0.20428301647371447</v>
      </c>
      <c r="K77" s="1"/>
      <c r="L77" s="1">
        <f t="shared" ref="L77:L87" si="46">+D77-H77</f>
        <v>-8230.2900000000009</v>
      </c>
      <c r="M77" s="1"/>
      <c r="N77" s="5">
        <f t="shared" ref="N77:N87" si="47">IF(H77=0,0,L77/H77)</f>
        <v>-0.30072676118094127</v>
      </c>
      <c r="O77" s="14"/>
      <c r="P77" s="1">
        <f>SUM(OSRRefP22_14x_0)</f>
        <v>26006.23</v>
      </c>
      <c r="Q77" s="1"/>
      <c r="R77" s="5">
        <f t="shared" ref="R77:R87" si="48">IF(P$12=0,0,P77/P$12)</f>
        <v>0.37605168025912428</v>
      </c>
      <c r="S77" s="1"/>
      <c r="T77" s="1">
        <f>SUM(OSRRefT22_14x_0)</f>
        <v>43598</v>
      </c>
      <c r="U77" s="1"/>
      <c r="V77" s="5">
        <f t="shared" ref="V77:V87" si="49">IF(T$12=0,0,T77/T$12)</f>
        <v>0.32542863754096035</v>
      </c>
      <c r="W77" s="1"/>
      <c r="X77" s="1">
        <f t="shared" ref="X77:X87" si="50">+P77-T77</f>
        <v>-17591.77</v>
      </c>
      <c r="Y77" s="1"/>
      <c r="Z77" s="5">
        <f t="shared" ref="Z77:Z87" si="51">IF(T77=0,0,X77/T77)</f>
        <v>-0.40349947245286483</v>
      </c>
    </row>
    <row r="78" spans="1:26" s="24" customFormat="1" hidden="1" outlineLevel="2" x14ac:dyDescent="0.25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44"/>
        <v>0</v>
      </c>
      <c r="G78" s="2"/>
      <c r="H78" s="6">
        <v>100</v>
      </c>
      <c r="I78" s="2"/>
      <c r="J78" s="7">
        <f t="shared" si="45"/>
        <v>7.4643019758007325E-4</v>
      </c>
      <c r="K78" s="2"/>
      <c r="L78" s="6">
        <f t="shared" si="46"/>
        <v>-100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200</v>
      </c>
      <c r="U78" s="2"/>
      <c r="V78" s="7">
        <f t="shared" si="49"/>
        <v>1.4928603951601465E-3</v>
      </c>
      <c r="W78" s="2"/>
      <c r="X78" s="6">
        <f t="shared" si="50"/>
        <v>-200</v>
      </c>
      <c r="Y78" s="2"/>
      <c r="Z78" s="7">
        <f t="shared" si="51"/>
        <v>-1</v>
      </c>
    </row>
    <row r="79" spans="1:26" s="24" customFormat="1" hidden="1" outlineLevel="2" x14ac:dyDescent="0.25">
      <c r="A79" s="27"/>
      <c r="B79" s="11" t="str">
        <f>CONCATENATE("          ", "6235", " - ", "COVID-19 EXPENSES")</f>
        <v xml:space="preserve">          6235 - COVID-19 EXPENSES</v>
      </c>
      <c r="C79" s="11"/>
      <c r="D79" s="6">
        <v>8707.61</v>
      </c>
      <c r="E79" s="2"/>
      <c r="F79" s="7">
        <f t="shared" si="44"/>
        <v>0.17475307095918607</v>
      </c>
      <c r="G79" s="2"/>
      <c r="H79" s="6">
        <v>12200</v>
      </c>
      <c r="I79" s="2"/>
      <c r="J79" s="7">
        <f t="shared" si="45"/>
        <v>9.1064484104768945E-2</v>
      </c>
      <c r="K79" s="2"/>
      <c r="L79" s="6">
        <f t="shared" si="46"/>
        <v>-3492.3899999999994</v>
      </c>
      <c r="M79" s="2"/>
      <c r="N79" s="7">
        <f t="shared" si="47"/>
        <v>-0.28626147540983604</v>
      </c>
      <c r="O79" s="11"/>
      <c r="P79" s="6">
        <v>13673.73</v>
      </c>
      <c r="Q79" s="2"/>
      <c r="R79" s="7">
        <f t="shared" si="48"/>
        <v>0.19772297414541037</v>
      </c>
      <c r="S79" s="2"/>
      <c r="T79" s="6">
        <v>17400</v>
      </c>
      <c r="U79" s="2"/>
      <c r="V79" s="7">
        <f t="shared" si="49"/>
        <v>0.12987885437893276</v>
      </c>
      <c r="W79" s="2"/>
      <c r="X79" s="6">
        <f t="shared" si="50"/>
        <v>-3726.2700000000004</v>
      </c>
      <c r="Y79" s="2"/>
      <c r="Z79" s="7">
        <f t="shared" si="51"/>
        <v>-0.21415344827586211</v>
      </c>
    </row>
    <row r="80" spans="1:26" s="24" customFormat="1" hidden="1" outlineLevel="2" x14ac:dyDescent="0.25">
      <c r="A80" s="27"/>
      <c r="B80" s="11" t="str">
        <f>CONCATENATE("          ", "6237", " - ", "JANITORIAL SUPPLIES")</f>
        <v xml:space="preserve">          6237 - JANITORIAL SUPPLIES</v>
      </c>
      <c r="C80" s="11"/>
      <c r="D80" s="6">
        <v>1416.91</v>
      </c>
      <c r="E80" s="2"/>
      <c r="F80" s="7">
        <f t="shared" si="44"/>
        <v>2.8435974253874521E-2</v>
      </c>
      <c r="G80" s="2"/>
      <c r="H80" s="6">
        <v>10000</v>
      </c>
      <c r="I80" s="2"/>
      <c r="J80" s="7">
        <f t="shared" si="45"/>
        <v>7.4643019758007328E-2</v>
      </c>
      <c r="K80" s="2"/>
      <c r="L80" s="6">
        <f t="shared" si="46"/>
        <v>-8583.09</v>
      </c>
      <c r="M80" s="2"/>
      <c r="N80" s="7">
        <f t="shared" si="47"/>
        <v>-0.85830899999999999</v>
      </c>
      <c r="O80" s="11"/>
      <c r="P80" s="6">
        <v>2604.9499999999998</v>
      </c>
      <c r="Q80" s="2"/>
      <c r="R80" s="7">
        <f t="shared" si="48"/>
        <v>3.7667736711203652E-2</v>
      </c>
      <c r="S80" s="2"/>
      <c r="T80" s="6">
        <v>14000</v>
      </c>
      <c r="U80" s="2"/>
      <c r="V80" s="7">
        <f t="shared" si="49"/>
        <v>0.10450022766121027</v>
      </c>
      <c r="W80" s="2"/>
      <c r="X80" s="6">
        <f t="shared" si="50"/>
        <v>-11395.05</v>
      </c>
      <c r="Y80" s="2"/>
      <c r="Z80" s="7">
        <f t="shared" si="51"/>
        <v>-0.81393214285714277</v>
      </c>
    </row>
    <row r="81" spans="1:26" s="24" customFormat="1" hidden="1" outlineLevel="2" x14ac:dyDescent="0.25">
      <c r="A81" s="27"/>
      <c r="B81" s="11" t="str">
        <f>CONCATENATE("          ", "6239", " - ", "KITCHEN SUPPLIES")</f>
        <v xml:space="preserve">          6239 - KITCHEN SUPPLIES</v>
      </c>
      <c r="C81" s="11"/>
      <c r="D81" s="6">
        <v>2324.31</v>
      </c>
      <c r="E81" s="2"/>
      <c r="F81" s="7">
        <f t="shared" si="44"/>
        <v>4.6646589633796844E-2</v>
      </c>
      <c r="G81" s="2"/>
      <c r="H81" s="6">
        <v>2300</v>
      </c>
      <c r="I81" s="2"/>
      <c r="J81" s="7">
        <f t="shared" si="45"/>
        <v>1.7167894544341686E-2</v>
      </c>
      <c r="K81" s="2"/>
      <c r="L81" s="6">
        <f t="shared" si="46"/>
        <v>24.309999999999945</v>
      </c>
      <c r="M81" s="2"/>
      <c r="N81" s="7">
        <f t="shared" si="47"/>
        <v>1.056956521739128E-2</v>
      </c>
      <c r="O81" s="11"/>
      <c r="P81" s="6">
        <v>2374.31</v>
      </c>
      <c r="Q81" s="2"/>
      <c r="R81" s="7">
        <f t="shared" si="48"/>
        <v>3.4332668170513045E-2</v>
      </c>
      <c r="S81" s="2"/>
      <c r="T81" s="6">
        <v>3800</v>
      </c>
      <c r="U81" s="2"/>
      <c r="V81" s="7">
        <f t="shared" si="49"/>
        <v>2.8364347508042786E-2</v>
      </c>
      <c r="W81" s="2"/>
      <c r="X81" s="6">
        <f t="shared" si="50"/>
        <v>-1425.69</v>
      </c>
      <c r="Y81" s="2"/>
      <c r="Z81" s="7">
        <f t="shared" si="51"/>
        <v>-0.37518157894736842</v>
      </c>
    </row>
    <row r="82" spans="1:26" s="24" customFormat="1" hidden="1" outlineLevel="2" x14ac:dyDescent="0.25">
      <c r="A82" s="27"/>
      <c r="B82" s="11" t="str">
        <f>CONCATENATE("          ", "6241", " - ", "OFFICE EXPENSE")</f>
        <v xml:space="preserve">          6241 - OFFICE EXPENSE</v>
      </c>
      <c r="C82" s="11"/>
      <c r="D82" s="6">
        <v>165.61</v>
      </c>
      <c r="E82" s="2"/>
      <c r="F82" s="7">
        <f t="shared" si="44"/>
        <v>3.3236279623858676E-3</v>
      </c>
      <c r="G82" s="2"/>
      <c r="H82" s="6">
        <v>1000</v>
      </c>
      <c r="I82" s="2"/>
      <c r="J82" s="7">
        <f t="shared" si="45"/>
        <v>7.4643019758007332E-3</v>
      </c>
      <c r="K82" s="2"/>
      <c r="L82" s="6">
        <f t="shared" si="46"/>
        <v>-834.39</v>
      </c>
      <c r="M82" s="2"/>
      <c r="N82" s="7">
        <f t="shared" si="47"/>
        <v>-0.83438999999999997</v>
      </c>
      <c r="O82" s="11"/>
      <c r="P82" s="6">
        <v>182.09</v>
      </c>
      <c r="Q82" s="2"/>
      <c r="R82" s="7">
        <f t="shared" si="48"/>
        <v>2.6330325640580715E-3</v>
      </c>
      <c r="S82" s="2"/>
      <c r="T82" s="6">
        <v>1750</v>
      </c>
      <c r="U82" s="2"/>
      <c r="V82" s="7">
        <f t="shared" si="49"/>
        <v>1.3062528457651284E-2</v>
      </c>
      <c r="W82" s="2"/>
      <c r="X82" s="6">
        <f t="shared" si="50"/>
        <v>-1567.91</v>
      </c>
      <c r="Y82" s="2"/>
      <c r="Z82" s="7">
        <f t="shared" si="51"/>
        <v>-0.89594857142857143</v>
      </c>
    </row>
    <row r="83" spans="1:26" s="24" customFormat="1" hidden="1" outlineLevel="2" x14ac:dyDescent="0.25">
      <c r="A83" s="27"/>
      <c r="B83" s="11" t="str">
        <f>CONCATENATE("          ", "6243", " - ", "PAPER SUPPLIES")</f>
        <v xml:space="preserve">          6243 - PAPER SUPPLIES</v>
      </c>
      <c r="C83" s="11"/>
      <c r="D83" s="6">
        <v>3012.29</v>
      </c>
      <c r="E83" s="2"/>
      <c r="F83" s="7">
        <f t="shared" si="44"/>
        <v>6.0453663877877692E-2</v>
      </c>
      <c r="G83" s="2"/>
      <c r="H83" s="6">
        <v>500</v>
      </c>
      <c r="I83" s="2"/>
      <c r="J83" s="7">
        <f t="shared" si="45"/>
        <v>3.7321509879003666E-3</v>
      </c>
      <c r="K83" s="2"/>
      <c r="L83" s="6">
        <f t="shared" si="46"/>
        <v>2512.29</v>
      </c>
      <c r="M83" s="2"/>
      <c r="N83" s="7">
        <f t="shared" si="47"/>
        <v>5.0245800000000003</v>
      </c>
      <c r="O83" s="11"/>
      <c r="P83" s="6">
        <v>3660.17</v>
      </c>
      <c r="Q83" s="2"/>
      <c r="R83" s="7">
        <f t="shared" si="48"/>
        <v>5.2926282607438258E-2</v>
      </c>
      <c r="S83" s="2"/>
      <c r="T83" s="6">
        <v>1000</v>
      </c>
      <c r="U83" s="2"/>
      <c r="V83" s="7">
        <f t="shared" si="49"/>
        <v>7.4643019758007332E-3</v>
      </c>
      <c r="W83" s="2"/>
      <c r="X83" s="6">
        <f t="shared" si="50"/>
        <v>2660.17</v>
      </c>
      <c r="Y83" s="2"/>
      <c r="Z83" s="7">
        <f t="shared" si="51"/>
        <v>2.6601699999999999</v>
      </c>
    </row>
    <row r="84" spans="1:26" s="24" customFormat="1" hidden="1" outlineLevel="2" x14ac:dyDescent="0.25">
      <c r="A84" s="27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44"/>
        <v>0</v>
      </c>
      <c r="G84" s="2"/>
      <c r="H84" s="6">
        <v>100</v>
      </c>
      <c r="I84" s="2"/>
      <c r="J84" s="7">
        <f t="shared" si="45"/>
        <v>7.4643019758007325E-4</v>
      </c>
      <c r="K84" s="2"/>
      <c r="L84" s="6">
        <f t="shared" si="46"/>
        <v>-100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280</v>
      </c>
      <c r="U84" s="2"/>
      <c r="V84" s="7">
        <f t="shared" si="49"/>
        <v>2.0900045532242051E-3</v>
      </c>
      <c r="W84" s="2"/>
      <c r="X84" s="6">
        <f t="shared" si="50"/>
        <v>-280</v>
      </c>
      <c r="Y84" s="2"/>
      <c r="Z84" s="7">
        <f t="shared" si="51"/>
        <v>-1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44"/>
        <v>0</v>
      </c>
      <c r="G85" s="2"/>
      <c r="H85" s="6">
        <v>650</v>
      </c>
      <c r="I85" s="2"/>
      <c r="J85" s="7">
        <f t="shared" si="45"/>
        <v>4.8517962842704763E-3</v>
      </c>
      <c r="K85" s="2"/>
      <c r="L85" s="6">
        <f t="shared" si="46"/>
        <v>-650</v>
      </c>
      <c r="M85" s="2"/>
      <c r="N85" s="7">
        <f t="shared" si="47"/>
        <v>-1</v>
      </c>
      <c r="O85" s="11"/>
      <c r="P85" s="6"/>
      <c r="Q85" s="2"/>
      <c r="R85" s="7">
        <f t="shared" si="48"/>
        <v>0</v>
      </c>
      <c r="S85" s="2"/>
      <c r="T85" s="6">
        <v>1300</v>
      </c>
      <c r="U85" s="2"/>
      <c r="V85" s="7">
        <f t="shared" si="49"/>
        <v>9.7035925685409526E-3</v>
      </c>
      <c r="W85" s="2"/>
      <c r="X85" s="6">
        <f t="shared" si="50"/>
        <v>-1300</v>
      </c>
      <c r="Y85" s="2"/>
      <c r="Z85" s="7">
        <f t="shared" si="51"/>
        <v>-1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44"/>
        <v>0</v>
      </c>
      <c r="G86" s="2"/>
      <c r="H86" s="6">
        <v>18</v>
      </c>
      <c r="I86" s="2"/>
      <c r="J86" s="7">
        <f t="shared" si="45"/>
        <v>1.3435743556441319E-4</v>
      </c>
      <c r="K86" s="2"/>
      <c r="L86" s="6">
        <f t="shared" si="46"/>
        <v>-18</v>
      </c>
      <c r="M86" s="2"/>
      <c r="N86" s="7">
        <f t="shared" si="47"/>
        <v>-1</v>
      </c>
      <c r="O86" s="11"/>
      <c r="P86" s="6"/>
      <c r="Q86" s="2"/>
      <c r="R86" s="7">
        <f t="shared" si="48"/>
        <v>0</v>
      </c>
      <c r="S86" s="2"/>
      <c r="T86" s="6">
        <v>18</v>
      </c>
      <c r="U86" s="2"/>
      <c r="V86" s="7">
        <f t="shared" si="49"/>
        <v>1.3435743556441319E-4</v>
      </c>
      <c r="W86" s="2"/>
      <c r="X86" s="6">
        <f t="shared" si="50"/>
        <v>-18</v>
      </c>
      <c r="Y86" s="2"/>
      <c r="Z86" s="7">
        <f t="shared" si="51"/>
        <v>-1</v>
      </c>
    </row>
    <row r="87" spans="1:26" s="24" customFormat="1" hidden="1" outlineLevel="2" x14ac:dyDescent="0.25">
      <c r="A87" s="27"/>
      <c r="B87" s="11" t="str">
        <f>CONCATENATE("          ", "6248", " - ", "UNIFORMS")</f>
        <v xml:space="preserve">          6248 - UNIFORMS</v>
      </c>
      <c r="C87" s="11"/>
      <c r="D87" s="6">
        <v>3510.98</v>
      </c>
      <c r="E87" s="2"/>
      <c r="F87" s="7">
        <f t="shared" si="44"/>
        <v>7.0461876114833247E-2</v>
      </c>
      <c r="G87" s="2"/>
      <c r="H87" s="6">
        <v>500</v>
      </c>
      <c r="I87" s="2"/>
      <c r="J87" s="7">
        <f t="shared" si="45"/>
        <v>3.7321509879003666E-3</v>
      </c>
      <c r="K87" s="2"/>
      <c r="L87" s="6">
        <f t="shared" si="46"/>
        <v>3010.98</v>
      </c>
      <c r="M87" s="2"/>
      <c r="N87" s="7">
        <f t="shared" si="47"/>
        <v>6.02196</v>
      </c>
      <c r="O87" s="11"/>
      <c r="P87" s="6">
        <v>3510.98</v>
      </c>
      <c r="Q87" s="2"/>
      <c r="R87" s="7">
        <f t="shared" si="48"/>
        <v>5.0768986060500898E-2</v>
      </c>
      <c r="S87" s="2"/>
      <c r="T87" s="6">
        <v>3850</v>
      </c>
      <c r="U87" s="2"/>
      <c r="V87" s="7">
        <f t="shared" si="49"/>
        <v>2.8737562606832821E-2</v>
      </c>
      <c r="W87" s="2"/>
      <c r="X87" s="6">
        <f t="shared" si="50"/>
        <v>-339.02</v>
      </c>
      <c r="Y87" s="2"/>
      <c r="Z87" s="7">
        <f t="shared" si="51"/>
        <v>-8.8057142857142848E-2</v>
      </c>
    </row>
    <row r="88" spans="1:26" s="29" customFormat="1" outlineLevel="1" collapsed="1" x14ac:dyDescent="0.25">
      <c r="A88" s="28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632.5</v>
      </c>
      <c r="E88" s="1"/>
      <c r="F88" s="5">
        <f t="shared" ref="F88:F90" si="52">IF(D$12=0,0,D88/D$12)</f>
        <v>1.2693645831828157E-2</v>
      </c>
      <c r="G88" s="1"/>
      <c r="H88" s="1">
        <f>SUM(OSRRefH22_15x_0)</f>
        <v>725</v>
      </c>
      <c r="I88" s="1"/>
      <c r="J88" s="5">
        <f t="shared" ref="J88:J90" si="53">IF(H$12=0,0,H88/H$12)</f>
        <v>5.4116189324555312E-3</v>
      </c>
      <c r="K88" s="1"/>
      <c r="L88" s="1">
        <f t="shared" ref="L88:L90" si="54">+D88-H88</f>
        <v>-92.5</v>
      </c>
      <c r="M88" s="1"/>
      <c r="N88" s="5">
        <f t="shared" ref="N88:N90" si="55">IF(H88=0,0,L88/H88)</f>
        <v>-0.12758620689655173</v>
      </c>
      <c r="O88" s="14"/>
      <c r="P88" s="1">
        <f>SUM(OSRRefP22_15x_0)</f>
        <v>1265</v>
      </c>
      <c r="Q88" s="1"/>
      <c r="R88" s="5">
        <f t="shared" ref="R88:R90" si="56">IF(P$12=0,0,P88/P$12)</f>
        <v>1.8291977557984847E-2</v>
      </c>
      <c r="S88" s="1"/>
      <c r="T88" s="1">
        <f>SUM(OSRRefT22_15x_0)</f>
        <v>1450</v>
      </c>
      <c r="U88" s="1"/>
      <c r="V88" s="5">
        <f t="shared" ref="V88:V90" si="57">IF(T$12=0,0,T88/T$12)</f>
        <v>1.0823237864911062E-2</v>
      </c>
      <c r="W88" s="1"/>
      <c r="X88" s="1">
        <f t="shared" ref="X88:X90" si="58">+P88-T88</f>
        <v>-185</v>
      </c>
      <c r="Y88" s="1"/>
      <c r="Z88" s="5">
        <f t="shared" ref="Z88:Z90" si="59">IF(T88=0,0,X88/T88)</f>
        <v>-0.12758620689655173</v>
      </c>
    </row>
    <row r="89" spans="1:26" s="24" customFormat="1" hidden="1" outlineLevel="2" x14ac:dyDescent="0.25">
      <c r="A89" s="27"/>
      <c r="B89" s="11" t="str">
        <f>CONCATENATE("          ", "6303", " - ", "DATA PHONE LINES")</f>
        <v xml:space="preserve">          6303 - DATA PHONE LINES</v>
      </c>
      <c r="C89" s="11"/>
      <c r="D89" s="6"/>
      <c r="E89" s="2"/>
      <c r="F89" s="7">
        <f t="shared" si="52"/>
        <v>0</v>
      </c>
      <c r="G89" s="2"/>
      <c r="H89" s="6">
        <v>500</v>
      </c>
      <c r="I89" s="2"/>
      <c r="J89" s="7">
        <f t="shared" si="53"/>
        <v>3.7321509879003666E-3</v>
      </c>
      <c r="K89" s="2"/>
      <c r="L89" s="6">
        <f t="shared" si="54"/>
        <v>-500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1000</v>
      </c>
      <c r="U89" s="2"/>
      <c r="V89" s="7">
        <f t="shared" si="57"/>
        <v>7.4643019758007332E-3</v>
      </c>
      <c r="W89" s="2"/>
      <c r="X89" s="6">
        <f t="shared" si="58"/>
        <v>-1000</v>
      </c>
      <c r="Y89" s="2"/>
      <c r="Z89" s="7">
        <f t="shared" si="59"/>
        <v>-1</v>
      </c>
    </row>
    <row r="90" spans="1:26" s="24" customFormat="1" hidden="1" outlineLevel="2" x14ac:dyDescent="0.25">
      <c r="A90" s="27"/>
      <c r="B90" s="11" t="str">
        <f>CONCATENATE("          ", "6309", " - ", "TELEPHONE")</f>
        <v xml:space="preserve">          6309 - TELEPHONE</v>
      </c>
      <c r="C90" s="11"/>
      <c r="D90" s="6">
        <v>632.5</v>
      </c>
      <c r="E90" s="2"/>
      <c r="F90" s="7">
        <f t="shared" si="52"/>
        <v>1.2693645831828157E-2</v>
      </c>
      <c r="G90" s="2"/>
      <c r="H90" s="6">
        <v>225</v>
      </c>
      <c r="I90" s="2"/>
      <c r="J90" s="7">
        <f t="shared" si="53"/>
        <v>1.679467944555165E-3</v>
      </c>
      <c r="K90" s="2"/>
      <c r="L90" s="6">
        <f t="shared" si="54"/>
        <v>407.5</v>
      </c>
      <c r="M90" s="2"/>
      <c r="N90" s="7">
        <f t="shared" si="55"/>
        <v>1.8111111111111111</v>
      </c>
      <c r="O90" s="11"/>
      <c r="P90" s="6">
        <v>1265</v>
      </c>
      <c r="Q90" s="2"/>
      <c r="R90" s="7">
        <f t="shared" si="56"/>
        <v>1.8291977557984847E-2</v>
      </c>
      <c r="S90" s="2"/>
      <c r="T90" s="6">
        <v>450</v>
      </c>
      <c r="U90" s="2"/>
      <c r="V90" s="7">
        <f t="shared" si="57"/>
        <v>3.35893588911033E-3</v>
      </c>
      <c r="W90" s="2"/>
      <c r="X90" s="6">
        <f t="shared" si="58"/>
        <v>815</v>
      </c>
      <c r="Y90" s="2"/>
      <c r="Z90" s="7">
        <f t="shared" si="59"/>
        <v>1.8111111111111111</v>
      </c>
    </row>
    <row r="91" spans="1:26" s="29" customFormat="1" outlineLevel="1" collapsed="1" x14ac:dyDescent="0.25">
      <c r="A91" s="28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350</v>
      </c>
      <c r="E91" s="1"/>
      <c r="F91" s="5">
        <f t="shared" ref="F91:F94" si="60">IF(D$12=0,0,D91/D$12)</f>
        <v>7.0241518436993753E-3</v>
      </c>
      <c r="G91" s="1"/>
      <c r="H91" s="1">
        <f>SUM(OSRRefH22_16x_0)</f>
        <v>750</v>
      </c>
      <c r="I91" s="1"/>
      <c r="J91" s="5">
        <f t="shared" ref="J91:J94" si="61">IF(H$12=0,0,H91/H$12)</f>
        <v>5.5982264818505495E-3</v>
      </c>
      <c r="K91" s="1"/>
      <c r="L91" s="1">
        <f t="shared" ref="L91:L94" si="62">+D91-H91</f>
        <v>-400</v>
      </c>
      <c r="M91" s="1"/>
      <c r="N91" s="5">
        <f t="shared" ref="N91:N94" si="63">IF(H91=0,0,L91/H91)</f>
        <v>-0.53333333333333333</v>
      </c>
      <c r="O91" s="14"/>
      <c r="P91" s="1">
        <f>SUM(OSRRefP22_16x_0)</f>
        <v>350</v>
      </c>
      <c r="Q91" s="1"/>
      <c r="R91" s="5">
        <f t="shared" ref="R91:R94" si="64">IF(P$12=0,0,P91/P$12)</f>
        <v>5.0610214587309852E-3</v>
      </c>
      <c r="S91" s="1"/>
      <c r="T91" s="1">
        <f>SUM(OSRRefT22_16x_0)</f>
        <v>1150</v>
      </c>
      <c r="U91" s="1"/>
      <c r="V91" s="5">
        <f t="shared" ref="V91:V94" si="65">IF(T$12=0,0,T91/T$12)</f>
        <v>8.5839472721708429E-3</v>
      </c>
      <c r="W91" s="1"/>
      <c r="X91" s="1">
        <f t="shared" ref="X91:X94" si="66">+P91-T91</f>
        <v>-800</v>
      </c>
      <c r="Y91" s="1"/>
      <c r="Z91" s="5">
        <f t="shared" ref="Z91:Z94" si="67">IF(T91=0,0,X91/T91)</f>
        <v>-0.69565217391304346</v>
      </c>
    </row>
    <row r="92" spans="1:26" s="24" customFormat="1" hidden="1" outlineLevel="2" x14ac:dyDescent="0.25">
      <c r="A92" s="27"/>
      <c r="B92" s="11" t="str">
        <f>CONCATENATE("          ", "6376", " - ", "TRAINING")</f>
        <v xml:space="preserve">          6376 - TRAINING</v>
      </c>
      <c r="C92" s="11"/>
      <c r="D92" s="6">
        <v>350</v>
      </c>
      <c r="E92" s="2"/>
      <c r="F92" s="7">
        <f t="shared" si="60"/>
        <v>7.0241518436993753E-3</v>
      </c>
      <c r="G92" s="2"/>
      <c r="H92" s="6">
        <v>750</v>
      </c>
      <c r="I92" s="2"/>
      <c r="J92" s="7">
        <f t="shared" si="61"/>
        <v>5.5982264818505495E-3</v>
      </c>
      <c r="K92" s="2"/>
      <c r="L92" s="6">
        <f t="shared" si="62"/>
        <v>-400</v>
      </c>
      <c r="M92" s="2"/>
      <c r="N92" s="7">
        <f t="shared" si="63"/>
        <v>-0.53333333333333333</v>
      </c>
      <c r="O92" s="11"/>
      <c r="P92" s="6">
        <v>350</v>
      </c>
      <c r="Q92" s="2"/>
      <c r="R92" s="7">
        <f t="shared" si="64"/>
        <v>5.0610214587309852E-3</v>
      </c>
      <c r="S92" s="2"/>
      <c r="T92" s="6">
        <v>1150</v>
      </c>
      <c r="U92" s="2"/>
      <c r="V92" s="7">
        <f t="shared" si="65"/>
        <v>8.5839472721708429E-3</v>
      </c>
      <c r="W92" s="2"/>
      <c r="X92" s="6">
        <f t="shared" si="66"/>
        <v>-800</v>
      </c>
      <c r="Y92" s="2"/>
      <c r="Z92" s="7">
        <f t="shared" si="67"/>
        <v>-0.69565217391304346</v>
      </c>
    </row>
    <row r="93" spans="1:26" s="29" customFormat="1" outlineLevel="1" collapsed="1" x14ac:dyDescent="0.25">
      <c r="A93" s="28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SUM(OSRRefD22_17x_0)</f>
        <v>0</v>
      </c>
      <c r="E93" s="1"/>
      <c r="F93" s="5">
        <f t="shared" si="60"/>
        <v>0</v>
      </c>
      <c r="G93" s="1"/>
      <c r="H93" s="1">
        <f>SUM(OSRRefH22_17x_0)</f>
        <v>300</v>
      </c>
      <c r="I93" s="1"/>
      <c r="J93" s="5">
        <f t="shared" si="61"/>
        <v>2.2392905927402199E-3</v>
      </c>
      <c r="K93" s="1"/>
      <c r="L93" s="1">
        <f t="shared" si="62"/>
        <v>-300</v>
      </c>
      <c r="M93" s="1"/>
      <c r="N93" s="5">
        <f t="shared" si="63"/>
        <v>-1</v>
      </c>
      <c r="O93" s="14"/>
      <c r="P93" s="1">
        <f>SUM(OSRRefP22_17x_0)</f>
        <v>0</v>
      </c>
      <c r="Q93" s="1"/>
      <c r="R93" s="5">
        <f t="shared" si="64"/>
        <v>0</v>
      </c>
      <c r="S93" s="1"/>
      <c r="T93" s="1">
        <f>SUM(OSRRefT22_17x_0)</f>
        <v>600</v>
      </c>
      <c r="U93" s="1"/>
      <c r="V93" s="5">
        <f t="shared" si="65"/>
        <v>4.4785811854804397E-3</v>
      </c>
      <c r="W93" s="1"/>
      <c r="X93" s="1">
        <f t="shared" si="66"/>
        <v>-600</v>
      </c>
      <c r="Y93" s="1"/>
      <c r="Z93" s="5">
        <f t="shared" si="67"/>
        <v>-1</v>
      </c>
    </row>
    <row r="94" spans="1:26" s="24" customFormat="1" hidden="1" outlineLevel="2" x14ac:dyDescent="0.25">
      <c r="A94" s="27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0"/>
        <v>0</v>
      </c>
      <c r="G94" s="2"/>
      <c r="H94" s="6">
        <v>300</v>
      </c>
      <c r="I94" s="2"/>
      <c r="J94" s="7">
        <f t="shared" si="61"/>
        <v>2.2392905927402199E-3</v>
      </c>
      <c r="K94" s="2"/>
      <c r="L94" s="6">
        <f t="shared" si="62"/>
        <v>-300</v>
      </c>
      <c r="M94" s="2"/>
      <c r="N94" s="7">
        <f t="shared" si="63"/>
        <v>-1</v>
      </c>
      <c r="O94" s="11"/>
      <c r="P94" s="6"/>
      <c r="Q94" s="2"/>
      <c r="R94" s="7">
        <f t="shared" si="64"/>
        <v>0</v>
      </c>
      <c r="S94" s="2"/>
      <c r="T94" s="6">
        <v>600</v>
      </c>
      <c r="U94" s="2"/>
      <c r="V94" s="7">
        <f t="shared" si="65"/>
        <v>4.4785811854804397E-3</v>
      </c>
      <c r="W94" s="2"/>
      <c r="X94" s="6">
        <f t="shared" si="66"/>
        <v>-600</v>
      </c>
      <c r="Y94" s="2"/>
      <c r="Z94" s="7">
        <f t="shared" si="67"/>
        <v>-1</v>
      </c>
    </row>
    <row r="95" spans="1:26" s="61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2" customFormat="1" x14ac:dyDescent="0.25">
      <c r="A96" s="10"/>
      <c r="B96" s="25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2" customFormat="1" x14ac:dyDescent="0.25">
      <c r="A98" s="10"/>
      <c r="B98" s="26" t="s">
        <v>3</v>
      </c>
      <c r="C98" s="26"/>
      <c r="D98" s="21">
        <f>+D23-D25+D96</f>
        <v>-194336.86999999994</v>
      </c>
      <c r="E98" s="13"/>
      <c r="F98" s="20">
        <f>IF(D$12=0,0,D98/D$12)</f>
        <v>-3.9001476677407583</v>
      </c>
      <c r="G98" s="13"/>
      <c r="H98" s="21">
        <f>+H23-H25+H96</f>
        <v>-226863.03416012612</v>
      </c>
      <c r="I98" s="13"/>
      <c r="J98" s="20">
        <f>IF(H$12=0,0,H98/H$12)</f>
        <v>-1.6933741941175786</v>
      </c>
      <c r="K98" s="16"/>
      <c r="L98" s="21">
        <f>+D98-H98</f>
        <v>32526.16416012618</v>
      </c>
      <c r="M98" s="16"/>
      <c r="N98" s="20">
        <f>IF(H98=0,0,L98/H98)</f>
        <v>-0.14337357463520622</v>
      </c>
      <c r="O98" s="25"/>
      <c r="P98" s="21">
        <f>+P23-P25+P96</f>
        <v>-372668.56999999995</v>
      </c>
      <c r="Q98" s="13"/>
      <c r="R98" s="20">
        <f>IF(P$12=0,0,P98/P$12)</f>
        <v>-5.3888103707559711</v>
      </c>
      <c r="S98" s="13"/>
      <c r="T98" s="21">
        <f>+T23-T25+T96</f>
        <v>-521532.73827403376</v>
      </c>
      <c r="U98" s="13"/>
      <c r="V98" s="20">
        <f>IF(T$12=0,0,T98/T$12)</f>
        <v>-3.8928778487436366</v>
      </c>
      <c r="W98" s="16"/>
      <c r="X98" s="21">
        <f>+P98-T98</f>
        <v>148864.16827403381</v>
      </c>
      <c r="Y98" s="16"/>
      <c r="Z98" s="20">
        <f>IF(T98=0,0,X98/T98)</f>
        <v>-0.28543590334652152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2" customFormat="1" x14ac:dyDescent="0.25">
      <c r="A100" s="52"/>
      <c r="B100" s="10" t="s">
        <v>14</v>
      </c>
      <c r="C100" s="10"/>
      <c r="D100" s="4">
        <v>2380.36</v>
      </c>
      <c r="E100" s="4"/>
      <c r="F100" s="12">
        <f>IF(D$12=0,0,D100/D$12)</f>
        <v>4.7771457379052133E-2</v>
      </c>
      <c r="G100" s="4"/>
      <c r="H100" s="4">
        <v>21878</v>
      </c>
      <c r="I100" s="4"/>
      <c r="J100" s="12">
        <f>IF(H$12=0,0,H100/H$12)</f>
        <v>0.16330399862656844</v>
      </c>
      <c r="K100" s="4"/>
      <c r="L100" s="4">
        <f>+D100-H100</f>
        <v>-19497.64</v>
      </c>
      <c r="M100" s="4"/>
      <c r="N100" s="12">
        <f>IF(H100=0,0,L100/H100)</f>
        <v>-0.89119846421062254</v>
      </c>
      <c r="O100" s="10"/>
      <c r="P100" s="4">
        <v>11676.06</v>
      </c>
      <c r="Q100" s="4"/>
      <c r="R100" s="12">
        <f>IF(P$12=0,0,P100/P$12)</f>
        <v>0.16883654346694429</v>
      </c>
      <c r="S100" s="4"/>
      <c r="T100" s="4">
        <v>21878</v>
      </c>
      <c r="U100" s="4"/>
      <c r="V100" s="12">
        <f>IF(T$12=0,0,T100/T$12)</f>
        <v>0.16330399862656844</v>
      </c>
      <c r="W100" s="4"/>
      <c r="X100" s="4">
        <f>+P100-T100</f>
        <v>-10201.94</v>
      </c>
      <c r="Y100" s="4"/>
      <c r="Z100" s="12">
        <f>IF(T100=0,0,X100/T100)</f>
        <v>-0.46631044885272876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2" customFormat="1" ht="15.75" thickBot="1" x14ac:dyDescent="0.3">
      <c r="A102" s="10"/>
      <c r="B102" s="26" t="s">
        <v>4</v>
      </c>
      <c r="C102" s="26"/>
      <c r="D102" s="33">
        <f>+D98-D100</f>
        <v>-196717.22999999992</v>
      </c>
      <c r="E102" s="13"/>
      <c r="F102" s="31">
        <f>IF(D$12=0,0,D102/D$12)</f>
        <v>-3.9479191251198102</v>
      </c>
      <c r="G102" s="13"/>
      <c r="H102" s="33">
        <f>+H98-H100</f>
        <v>-248741.03416012612</v>
      </c>
      <c r="I102" s="13"/>
      <c r="J102" s="31">
        <f>IF(H$12=0,0,H102/H$12)</f>
        <v>-1.8566781927441469</v>
      </c>
      <c r="K102" s="16"/>
      <c r="L102" s="33">
        <f>D102-H102</f>
        <v>52023.804160126194</v>
      </c>
      <c r="M102" s="16"/>
      <c r="N102" s="31">
        <f>IF(H102=0,0,L102/H102)</f>
        <v>-0.20914845970543028</v>
      </c>
      <c r="O102" s="25"/>
      <c r="P102" s="33">
        <f>+P98-P100</f>
        <v>-384344.62999999995</v>
      </c>
      <c r="Q102" s="13"/>
      <c r="R102" s="31">
        <f>IF(P$12=0,0,P102/P$12)</f>
        <v>-5.5576469142229152</v>
      </c>
      <c r="S102" s="13"/>
      <c r="T102" s="33">
        <f>+T98-T100</f>
        <v>-543410.73827403376</v>
      </c>
      <c r="U102" s="13"/>
      <c r="V102" s="31">
        <f>IF(T$12=0,0,T102/T$12)</f>
        <v>-4.0561818473702056</v>
      </c>
      <c r="W102" s="16"/>
      <c r="X102" s="33">
        <f>P102-T102</f>
        <v>159066.10827403382</v>
      </c>
      <c r="Y102" s="16"/>
      <c r="Z102" s="31">
        <f>IF(T102=0,0,X102/T102)</f>
        <v>-0.2927180069706668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2" customFormat="1" ht="15.75" thickBot="1" x14ac:dyDescent="0.3">
      <c r="A105" s="10"/>
      <c r="B105" s="26" t="s">
        <v>5</v>
      </c>
      <c r="C105" s="26"/>
      <c r="D105" s="32">
        <f>SUM(D102:D104)</f>
        <v>-196717.22999999992</v>
      </c>
      <c r="E105" s="13"/>
      <c r="F105" s="35">
        <f>IF(D$12=0,0,D105/D$12)</f>
        <v>-3.9479191251198102</v>
      </c>
      <c r="G105" s="13"/>
      <c r="H105" s="32">
        <f>SUM(H102:H104)</f>
        <v>-248741.03416012612</v>
      </c>
      <c r="I105" s="13"/>
      <c r="J105" s="35">
        <f>IF(H$12=0,0,H105/H$12)</f>
        <v>-1.8566781927441469</v>
      </c>
      <c r="K105" s="16"/>
      <c r="L105" s="32">
        <f>+D105-H105</f>
        <v>52023.804160126194</v>
      </c>
      <c r="M105" s="16"/>
      <c r="N105" s="35">
        <f>IF(H105=0,0,L105/H105)</f>
        <v>-0.20914845970543028</v>
      </c>
      <c r="O105" s="25"/>
      <c r="P105" s="32">
        <f>SUM(P102:P104)</f>
        <v>-384344.62999999995</v>
      </c>
      <c r="Q105" s="13"/>
      <c r="R105" s="35">
        <f>IF(P$12=0,0,P105/P$12)</f>
        <v>-5.5576469142229152</v>
      </c>
      <c r="S105" s="13"/>
      <c r="T105" s="32">
        <f>SUM(T102:T104)</f>
        <v>-543410.73827403376</v>
      </c>
      <c r="U105" s="13"/>
      <c r="V105" s="35">
        <f>IF(T$12=0,0,T105/T$12)</f>
        <v>-4.0561818473702056</v>
      </c>
      <c r="W105" s="16"/>
      <c r="X105" s="32">
        <f>+P105-T105</f>
        <v>159066.10827403382</v>
      </c>
      <c r="Y105" s="16"/>
      <c r="Z105" s="35">
        <f>IF(T105=0,0,X105/T105)</f>
        <v>-0.2927180069706668</v>
      </c>
    </row>
    <row r="106" spans="1:26" ht="15.75" thickTop="1" x14ac:dyDescent="0.25">
      <c r="A106" s="9"/>
      <c r="C106" s="9"/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9">
        <v>44113.689117326387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62" t="s">
        <v>314</v>
      </c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A109" s="9"/>
      <c r="B109" s="63"/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  <row r="110" spans="1:26" x14ac:dyDescent="0.25">
      <c r="D110" s="18"/>
      <c r="E110" s="18"/>
      <c r="G110" s="18"/>
      <c r="H110" s="18"/>
      <c r="I110" s="18"/>
      <c r="J110" s="43"/>
      <c r="K110" s="18"/>
      <c r="L110" s="18"/>
      <c r="M110" s="18"/>
      <c r="P110" s="18"/>
      <c r="Q110" s="18"/>
      <c r="R110" s="43"/>
      <c r="S110" s="18"/>
      <c r="T110" s="18"/>
      <c r="U110" s="18"/>
      <c r="V110" s="43"/>
      <c r="W110" s="18"/>
      <c r="X110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","430", " - ", "Res Hall Management")</f>
        <v>Department 430 - Res Hall Management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10800.34</v>
      </c>
      <c r="E18" s="19"/>
      <c r="F18" s="30">
        <f t="shared" ref="F18:F28" si="0">IF(D$12=0,0,D18/D$12)</f>
        <v>0</v>
      </c>
      <c r="G18" s="19"/>
      <c r="H18" s="19">
        <f>SUM(OSRRefH22x_0)</f>
        <v>13801.532740000001</v>
      </c>
      <c r="I18" s="19"/>
      <c r="J18" s="30">
        <f t="shared" ref="J18:J28" si="1">IF(H$12=0,0,H18/H$12)</f>
        <v>0</v>
      </c>
      <c r="K18" s="4"/>
      <c r="L18" s="19">
        <f t="shared" ref="L18:L28" si="2">+D18-H18</f>
        <v>-3001.1927400000004</v>
      </c>
      <c r="M18" s="4"/>
      <c r="N18" s="30">
        <f t="shared" ref="N18:N28" si="3">IF(H18=0,0,L18/H18)</f>
        <v>-0.21745358262288195</v>
      </c>
      <c r="O18" s="10"/>
      <c r="P18" s="19">
        <f>SUM(OSRRefP22x_0)</f>
        <v>32322.329999999998</v>
      </c>
      <c r="Q18" s="19"/>
      <c r="R18" s="30">
        <f t="shared" ref="R18:R28" si="4">IF(P$12=0,0,P18/P$12)</f>
        <v>0</v>
      </c>
      <c r="S18" s="19"/>
      <c r="T18" s="19">
        <f>SUM(OSRRefT22x_0)</f>
        <v>30308.448665</v>
      </c>
      <c r="U18" s="19"/>
      <c r="V18" s="30">
        <f t="shared" ref="V18:V28" si="5">IF(T$12=0,0,T18/T$12)</f>
        <v>0</v>
      </c>
      <c r="W18" s="4"/>
      <c r="X18" s="19">
        <f t="shared" ref="X18:X28" si="6">+P18-T18</f>
        <v>2013.8813349999982</v>
      </c>
      <c r="Y18" s="4"/>
      <c r="Z18" s="30">
        <f t="shared" ref="Z18:Z28" si="7">IF(T18=0,0,X18/T18)</f>
        <v>6.644620307886677E-2</v>
      </c>
    </row>
    <row r="19" spans="1:26" s="29" customFormat="1" outlineLevel="1" collapsed="1" x14ac:dyDescent="0.25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5374.62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1083.1872599999997</v>
      </c>
      <c r="M19" s="1"/>
      <c r="N19" s="5">
        <f t="shared" si="3"/>
        <v>0.25240690595094811</v>
      </c>
      <c r="O19" s="14"/>
      <c r="P19" s="1">
        <f>SUM(OSRRefP22_0x_0)</f>
        <v>10707.87</v>
      </c>
      <c r="Q19" s="1"/>
      <c r="R19" s="5">
        <f t="shared" si="4"/>
        <v>0</v>
      </c>
      <c r="S19" s="1"/>
      <c r="T19" s="1">
        <f>SUM(OSRRefT22_0x_0)</f>
        <v>9160.7236650000013</v>
      </c>
      <c r="U19" s="1"/>
      <c r="V19" s="5">
        <f t="shared" si="5"/>
        <v>0</v>
      </c>
      <c r="W19" s="1"/>
      <c r="X19" s="1">
        <f t="shared" si="6"/>
        <v>1547.1463349999995</v>
      </c>
      <c r="Y19" s="1"/>
      <c r="Z19" s="5">
        <f t="shared" si="7"/>
        <v>0.16888909561928142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685.42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-0.13574000000005526</v>
      </c>
      <c r="M20" s="2"/>
      <c r="N20" s="7">
        <f t="shared" si="3"/>
        <v>-1.9799994672943042E-4</v>
      </c>
      <c r="O20" s="11"/>
      <c r="P20" s="6">
        <v>1370.84</v>
      </c>
      <c r="Q20" s="2"/>
      <c r="R20" s="7">
        <f t="shared" si="4"/>
        <v>0</v>
      </c>
      <c r="S20" s="2"/>
      <c r="T20" s="6">
        <v>1542.5004150000002</v>
      </c>
      <c r="U20" s="2"/>
      <c r="V20" s="7">
        <f t="shared" si="5"/>
        <v>0</v>
      </c>
      <c r="W20" s="2"/>
      <c r="X20" s="6">
        <f t="shared" si="6"/>
        <v>-171.66041500000028</v>
      </c>
      <c r="Y20" s="2"/>
      <c r="Z20" s="7">
        <f t="shared" si="7"/>
        <v>-0.11128711106375959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384.36</v>
      </c>
      <c r="E21" s="2"/>
      <c r="F21" s="7">
        <f t="shared" si="0"/>
        <v>0</v>
      </c>
      <c r="G21" s="2"/>
      <c r="H21" s="6">
        <v>384.29820000000001</v>
      </c>
      <c r="I21" s="2"/>
      <c r="J21" s="7">
        <f t="shared" si="1"/>
        <v>0</v>
      </c>
      <c r="K21" s="2"/>
      <c r="L21" s="6">
        <f t="shared" si="2"/>
        <v>6.1800000000005184E-2</v>
      </c>
      <c r="M21" s="2"/>
      <c r="N21" s="7">
        <f t="shared" si="3"/>
        <v>1.6081261895060966E-4</v>
      </c>
      <c r="O21" s="11"/>
      <c r="P21" s="6">
        <v>768.72</v>
      </c>
      <c r="Q21" s="2"/>
      <c r="R21" s="7">
        <f t="shared" si="4"/>
        <v>0</v>
      </c>
      <c r="S21" s="2"/>
      <c r="T21" s="6">
        <v>864.67094999999995</v>
      </c>
      <c r="U21" s="2"/>
      <c r="V21" s="7">
        <f t="shared" si="5"/>
        <v>0</v>
      </c>
      <c r="W21" s="2"/>
      <c r="X21" s="6">
        <f t="shared" si="6"/>
        <v>-95.950949999999921</v>
      </c>
      <c r="Y21" s="2"/>
      <c r="Z21" s="7">
        <f t="shared" si="7"/>
        <v>-0.11096816656093272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1980</v>
      </c>
      <c r="I22" s="2"/>
      <c r="J22" s="7">
        <f t="shared" si="1"/>
        <v>0</v>
      </c>
      <c r="K22" s="2"/>
      <c r="L22" s="6">
        <f t="shared" si="2"/>
        <v>757.90000000000009</v>
      </c>
      <c r="M22" s="2"/>
      <c r="N22" s="7">
        <f t="shared" si="3"/>
        <v>0.38277777777777783</v>
      </c>
      <c r="O22" s="11"/>
      <c r="P22" s="6">
        <v>5475.8</v>
      </c>
      <c r="Q22" s="2"/>
      <c r="R22" s="7">
        <f t="shared" si="4"/>
        <v>0</v>
      </c>
      <c r="S22" s="2"/>
      <c r="T22" s="6">
        <v>3960</v>
      </c>
      <c r="U22" s="2"/>
      <c r="V22" s="7">
        <f t="shared" si="5"/>
        <v>0</v>
      </c>
      <c r="W22" s="2"/>
      <c r="X22" s="6">
        <f t="shared" si="6"/>
        <v>1515.8000000000002</v>
      </c>
      <c r="Y22" s="2"/>
      <c r="Z22" s="7">
        <f t="shared" si="7"/>
        <v>0.38277777777777783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23.290800000000001</v>
      </c>
      <c r="I23" s="2"/>
      <c r="J23" s="7">
        <f t="shared" si="1"/>
        <v>0</v>
      </c>
      <c r="K23" s="2"/>
      <c r="L23" s="6">
        <f t="shared" si="2"/>
        <v>-8.0000000000168825E-4</v>
      </c>
      <c r="M23" s="2"/>
      <c r="N23" s="7">
        <f t="shared" si="3"/>
        <v>-3.4348326377869728E-5</v>
      </c>
      <c r="O23" s="11"/>
      <c r="P23" s="6">
        <v>46.58</v>
      </c>
      <c r="Q23" s="2"/>
      <c r="R23" s="7">
        <f t="shared" si="4"/>
        <v>0</v>
      </c>
      <c r="S23" s="2"/>
      <c r="T23" s="6">
        <v>52.404299999999999</v>
      </c>
      <c r="U23" s="2"/>
      <c r="V23" s="7">
        <f t="shared" si="5"/>
        <v>0</v>
      </c>
      <c r="W23" s="2"/>
      <c r="X23" s="6">
        <f t="shared" si="6"/>
        <v>-5.8243000000000009</v>
      </c>
      <c r="Y23" s="2"/>
      <c r="Z23" s="7">
        <f t="shared" si="7"/>
        <v>-0.11114164295678028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-77.817999999999984</v>
      </c>
      <c r="M24" s="2"/>
      <c r="N24" s="7">
        <f t="shared" si="3"/>
        <v>-0.10101143839208293</v>
      </c>
      <c r="O24" s="11"/>
      <c r="P24" s="6">
        <v>1731.43</v>
      </c>
      <c r="Q24" s="2"/>
      <c r="R24" s="7">
        <f t="shared" si="4"/>
        <v>0</v>
      </c>
      <c r="S24" s="2"/>
      <c r="T24" s="6">
        <v>1733.373</v>
      </c>
      <c r="U24" s="2"/>
      <c r="V24" s="7">
        <f t="shared" si="5"/>
        <v>0</v>
      </c>
      <c r="W24" s="2"/>
      <c r="X24" s="6">
        <f t="shared" si="6"/>
        <v>-1.9429999999999836</v>
      </c>
      <c r="Y24" s="2"/>
      <c r="Z24" s="7">
        <f t="shared" si="7"/>
        <v>-1.1209358862749007E-3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413.82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145.07999999999998</v>
      </c>
      <c r="M26" s="2"/>
      <c r="N26" s="7">
        <f t="shared" si="3"/>
        <v>0.53985264567983915</v>
      </c>
      <c r="O26" s="11"/>
      <c r="P26" s="6">
        <v>447.98</v>
      </c>
      <c r="Q26" s="2"/>
      <c r="R26" s="7">
        <f t="shared" si="4"/>
        <v>0</v>
      </c>
      <c r="S26" s="2"/>
      <c r="T26" s="6">
        <v>604.66499999999996</v>
      </c>
      <c r="U26" s="2"/>
      <c r="V26" s="7">
        <f t="shared" si="5"/>
        <v>0</v>
      </c>
      <c r="W26" s="2"/>
      <c r="X26" s="6">
        <f t="shared" si="6"/>
        <v>-156.68499999999995</v>
      </c>
      <c r="Y26" s="2"/>
      <c r="Z26" s="7">
        <f t="shared" si="7"/>
        <v>-0.25912695459469287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234.1</v>
      </c>
      <c r="M27" s="2"/>
      <c r="N27" s="7">
        <f t="shared" si="3"/>
        <v>1.3066532708193792</v>
      </c>
      <c r="O27" s="11"/>
      <c r="P27" s="6">
        <v>826.52</v>
      </c>
      <c r="Q27" s="2"/>
      <c r="R27" s="7">
        <f t="shared" si="4"/>
        <v>0</v>
      </c>
      <c r="S27" s="2"/>
      <c r="T27" s="6">
        <v>403.11</v>
      </c>
      <c r="U27" s="2"/>
      <c r="V27" s="7">
        <f t="shared" si="5"/>
        <v>0</v>
      </c>
      <c r="W27" s="2"/>
      <c r="X27" s="6">
        <f t="shared" si="6"/>
        <v>423.40999999999997</v>
      </c>
      <c r="Y27" s="2"/>
      <c r="Z27" s="7">
        <f t="shared" si="7"/>
        <v>1.0503584629505593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24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24</v>
      </c>
      <c r="M28" s="2"/>
      <c r="N28" s="7">
        <f t="shared" si="3"/>
        <v>0</v>
      </c>
      <c r="O28" s="11"/>
      <c r="P28" s="6">
        <v>40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40</v>
      </c>
      <c r="Y28" s="2"/>
      <c r="Z28" s="7">
        <f t="shared" si="7"/>
        <v>0</v>
      </c>
    </row>
    <row r="29" spans="1:26" s="29" customFormat="1" outlineLevel="1" collapsed="1" x14ac:dyDescent="0.25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5375.72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-3134.38</v>
      </c>
      <c r="M29" s="1"/>
      <c r="N29" s="5">
        <f t="shared" ref="N29:N39" si="11">IF(H29=0,0,L29/H29)</f>
        <v>-0.36831294579382146</v>
      </c>
      <c r="O29" s="14"/>
      <c r="P29" s="1">
        <f>SUM(OSRRefP22_1x_0)</f>
        <v>16575.259999999998</v>
      </c>
      <c r="Q29" s="1"/>
      <c r="R29" s="5">
        <f t="shared" ref="R29:R39" si="12">IF(P$12=0,0,P29/P$12)</f>
        <v>0</v>
      </c>
      <c r="S29" s="1"/>
      <c r="T29" s="1">
        <f>SUM(OSRRefT22_1x_0)</f>
        <v>19147.724999999999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-2572.4650000000001</v>
      </c>
      <c r="Y29" s="1"/>
      <c r="Z29" s="5">
        <f t="shared" ref="Z29:Z39" si="15">IF(T29=0,0,X29/T29)</f>
        <v>-0.13434833642116756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5375.72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5375.72</v>
      </c>
      <c r="M30" s="2"/>
      <c r="N30" s="7">
        <f t="shared" si="11"/>
        <v>0</v>
      </c>
      <c r="O30" s="11"/>
      <c r="P30" s="6">
        <v>16575.259999999998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16575.259999999998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19147.724999999999</v>
      </c>
      <c r="U31" s="2"/>
      <c r="V31" s="7">
        <f t="shared" si="13"/>
        <v>0</v>
      </c>
      <c r="W31" s="2"/>
      <c r="X31" s="6">
        <f t="shared" si="14"/>
        <v>-19147.724999999999</v>
      </c>
      <c r="Y31" s="2"/>
      <c r="Z31" s="7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9" customFormat="1" outlineLevel="1" collapsed="1" x14ac:dyDescent="0.25">
      <c r="A40" s="28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SUM(OSRRefD22_2x_0)</f>
        <v>0</v>
      </c>
      <c r="E40" s="1"/>
      <c r="F40" s="5">
        <f t="shared" ref="F40:F43" si="16">IF(D$12=0,0,D40/D$12)</f>
        <v>0</v>
      </c>
      <c r="G40" s="1"/>
      <c r="H40" s="1">
        <f>SUM(OSRRefH22_2x_0)</f>
        <v>400</v>
      </c>
      <c r="I40" s="1"/>
      <c r="J40" s="5">
        <f t="shared" ref="J40:J43" si="17">IF(H$12=0,0,H40/H$12)</f>
        <v>0</v>
      </c>
      <c r="K40" s="1"/>
      <c r="L40" s="1">
        <f t="shared" ref="L40:L43" si="18">+D40-H40</f>
        <v>-400</v>
      </c>
      <c r="M40" s="1"/>
      <c r="N40" s="5">
        <f t="shared" ref="N40:N43" si="19">IF(H40=0,0,L40/H40)</f>
        <v>-1</v>
      </c>
      <c r="O40" s="14"/>
      <c r="P40" s="1">
        <f>SUM(OSRRefP22_2x_0)</f>
        <v>4939.2</v>
      </c>
      <c r="Q40" s="1"/>
      <c r="R40" s="5">
        <f t="shared" ref="R40:R43" si="20">IF(P$12=0,0,P40/P$12)</f>
        <v>0</v>
      </c>
      <c r="S40" s="1"/>
      <c r="T40" s="1">
        <f>SUM(OSRRefT22_2x_0)</f>
        <v>800</v>
      </c>
      <c r="U40" s="1"/>
      <c r="V40" s="5">
        <f t="shared" ref="V40:V43" si="21">IF(T$12=0,0,T40/T$12)</f>
        <v>0</v>
      </c>
      <c r="W40" s="1"/>
      <c r="X40" s="1">
        <f t="shared" ref="X40:X43" si="22">+P40-T40</f>
        <v>4139.2</v>
      </c>
      <c r="Y40" s="1"/>
      <c r="Z40" s="5">
        <f t="shared" ref="Z40:Z43" si="23">IF(T40=0,0,X40/T40)</f>
        <v>5.1739999999999995</v>
      </c>
    </row>
    <row r="41" spans="1:26" s="24" customFormat="1" hidden="1" outlineLevel="2" x14ac:dyDescent="0.25">
      <c r="A41" s="27"/>
      <c r="B41" s="11" t="str">
        <f>CONCATENATE("          ", "6234", " - ", "EXPENDABLE SUPPLIES &amp; EQUIPMEN")</f>
        <v xml:space="preserve">          6234 - EXPENDABLE SUPPLIES &amp; EQUIPMEN</v>
      </c>
      <c r="C41" s="11"/>
      <c r="D41" s="6"/>
      <c r="E41" s="2"/>
      <c r="F41" s="7">
        <f t="shared" si="16"/>
        <v>0</v>
      </c>
      <c r="G41" s="2"/>
      <c r="H41" s="6">
        <v>100</v>
      </c>
      <c r="I41" s="2"/>
      <c r="J41" s="7">
        <f t="shared" si="17"/>
        <v>0</v>
      </c>
      <c r="K41" s="2"/>
      <c r="L41" s="6">
        <f t="shared" si="18"/>
        <v>-100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200</v>
      </c>
      <c r="U41" s="2"/>
      <c r="V41" s="7">
        <f t="shared" si="21"/>
        <v>0</v>
      </c>
      <c r="W41" s="2"/>
      <c r="X41" s="6">
        <f t="shared" si="22"/>
        <v>-200</v>
      </c>
      <c r="Y41" s="2"/>
      <c r="Z41" s="7">
        <f t="shared" si="23"/>
        <v>-1</v>
      </c>
    </row>
    <row r="42" spans="1:26" s="24" customFormat="1" hidden="1" outlineLevel="2" x14ac:dyDescent="0.25">
      <c r="A42" s="27"/>
      <c r="B42" s="11" t="str">
        <f>CONCATENATE("          ", "6235", " - ", "COVID-19 EXPENSES")</f>
        <v xml:space="preserve">          6235 - COVID-19 EXPENSES</v>
      </c>
      <c r="C42" s="11"/>
      <c r="D42" s="6"/>
      <c r="E42" s="2"/>
      <c r="F42" s="7">
        <f t="shared" si="16"/>
        <v>0</v>
      </c>
      <c r="G42" s="2"/>
      <c r="H42" s="6">
        <v>200</v>
      </c>
      <c r="I42" s="2"/>
      <c r="J42" s="7">
        <f t="shared" si="17"/>
        <v>0</v>
      </c>
      <c r="K42" s="2"/>
      <c r="L42" s="6">
        <f t="shared" si="18"/>
        <v>-200</v>
      </c>
      <c r="M42" s="2"/>
      <c r="N42" s="7">
        <f t="shared" si="19"/>
        <v>-1</v>
      </c>
      <c r="O42" s="11"/>
      <c r="P42" s="6">
        <v>4939.2</v>
      </c>
      <c r="Q42" s="2"/>
      <c r="R42" s="7">
        <f t="shared" si="20"/>
        <v>0</v>
      </c>
      <c r="S42" s="2"/>
      <c r="T42" s="6">
        <v>400</v>
      </c>
      <c r="U42" s="2"/>
      <c r="V42" s="7">
        <f t="shared" si="21"/>
        <v>0</v>
      </c>
      <c r="W42" s="2"/>
      <c r="X42" s="6">
        <f t="shared" si="22"/>
        <v>4539.2</v>
      </c>
      <c r="Y42" s="2"/>
      <c r="Z42" s="7">
        <f t="shared" si="23"/>
        <v>11.347999999999999</v>
      </c>
    </row>
    <row r="43" spans="1:26" s="24" customFormat="1" hidden="1" outlineLevel="2" x14ac:dyDescent="0.25">
      <c r="A43" s="27"/>
      <c r="B43" s="11" t="str">
        <f>CONCATENATE("          ", "6241", " - ", "OFFICE EXPENSE")</f>
        <v xml:space="preserve">          6241 - OFFICE EXPENSE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200</v>
      </c>
      <c r="U43" s="2"/>
      <c r="V43" s="7">
        <f t="shared" si="21"/>
        <v>0</v>
      </c>
      <c r="W43" s="2"/>
      <c r="X43" s="6">
        <f t="shared" si="22"/>
        <v>-200</v>
      </c>
      <c r="Y43" s="2"/>
      <c r="Z43" s="7">
        <f t="shared" si="23"/>
        <v>-1</v>
      </c>
    </row>
    <row r="44" spans="1:26" s="29" customFormat="1" outlineLevel="1" collapsed="1" x14ac:dyDescent="0.25">
      <c r="A44" s="28"/>
      <c r="B44" s="14" t="str">
        <f>CONCATENATE("     ","Telephone/Data Lines                              ")</f>
        <v xml:space="preserve">     Telephone/Data Lines                              </v>
      </c>
      <c r="C44" s="14"/>
      <c r="D44" s="1">
        <f>SUM(OSRRefD22_3x_0)</f>
        <v>50</v>
      </c>
      <c r="E44" s="1"/>
      <c r="F44" s="5">
        <f t="shared" ref="F44:F46" si="24">IF(D$12=0,0,D44/D$12)</f>
        <v>0</v>
      </c>
      <c r="G44" s="1"/>
      <c r="H44" s="1">
        <f>SUM(OSRRefH22_3x_0)</f>
        <v>100</v>
      </c>
      <c r="I44" s="1"/>
      <c r="J44" s="5">
        <f t="shared" ref="J44:J46" si="25">IF(H$12=0,0,H44/H$12)</f>
        <v>0</v>
      </c>
      <c r="K44" s="1"/>
      <c r="L44" s="1">
        <f t="shared" ref="L44:L46" si="26">+D44-H44</f>
        <v>-50</v>
      </c>
      <c r="M44" s="1"/>
      <c r="N44" s="5">
        <f t="shared" ref="N44:N46" si="27">IF(H44=0,0,L44/H44)</f>
        <v>-0.5</v>
      </c>
      <c r="O44" s="14"/>
      <c r="P44" s="1">
        <f>SUM(OSRRefP22_3x_0)</f>
        <v>100</v>
      </c>
      <c r="Q44" s="1"/>
      <c r="R44" s="5">
        <f t="shared" ref="R44:R46" si="28">IF(P$12=0,0,P44/P$12)</f>
        <v>0</v>
      </c>
      <c r="S44" s="1"/>
      <c r="T44" s="1">
        <f>SUM(OSRRefT22_3x_0)</f>
        <v>200</v>
      </c>
      <c r="U44" s="1"/>
      <c r="V44" s="5">
        <f t="shared" ref="V44:V46" si="29">IF(T$12=0,0,T44/T$12)</f>
        <v>0</v>
      </c>
      <c r="W44" s="1"/>
      <c r="X44" s="1">
        <f t="shared" ref="X44:X46" si="30">+P44-T44</f>
        <v>-100</v>
      </c>
      <c r="Y44" s="1"/>
      <c r="Z44" s="5">
        <f t="shared" ref="Z44:Z46" si="31">IF(T44=0,0,X44/T44)</f>
        <v>-0.5</v>
      </c>
    </row>
    <row r="45" spans="1:26" s="24" customFormat="1" hidden="1" outlineLevel="2" x14ac:dyDescent="0.25">
      <c r="A45" s="27"/>
      <c r="B45" s="11" t="str">
        <f>CONCATENATE("          ", "6303", " - ", "DATA PHONE LINES")</f>
        <v xml:space="preserve">          6303 - DATA PHONE LINES</v>
      </c>
      <c r="C45" s="11"/>
      <c r="D45" s="6"/>
      <c r="E45" s="2"/>
      <c r="F45" s="7">
        <f t="shared" si="24"/>
        <v>0</v>
      </c>
      <c r="G45" s="2"/>
      <c r="H45" s="6">
        <v>50</v>
      </c>
      <c r="I45" s="2"/>
      <c r="J45" s="7">
        <f t="shared" si="25"/>
        <v>0</v>
      </c>
      <c r="K45" s="2"/>
      <c r="L45" s="6">
        <f t="shared" si="26"/>
        <v>-50</v>
      </c>
      <c r="M45" s="2"/>
      <c r="N45" s="7">
        <f t="shared" si="27"/>
        <v>-1</v>
      </c>
      <c r="O45" s="11"/>
      <c r="P45" s="6"/>
      <c r="Q45" s="2"/>
      <c r="R45" s="7">
        <f t="shared" si="28"/>
        <v>0</v>
      </c>
      <c r="S45" s="2"/>
      <c r="T45" s="6">
        <v>100</v>
      </c>
      <c r="U45" s="2"/>
      <c r="V45" s="7">
        <f t="shared" si="29"/>
        <v>0</v>
      </c>
      <c r="W45" s="2"/>
      <c r="X45" s="6">
        <f t="shared" si="30"/>
        <v>-100</v>
      </c>
      <c r="Y45" s="2"/>
      <c r="Z45" s="7">
        <f t="shared" si="31"/>
        <v>-1</v>
      </c>
    </row>
    <row r="46" spans="1:26" s="24" customFormat="1" hidden="1" outlineLevel="2" x14ac:dyDescent="0.25">
      <c r="A46" s="27"/>
      <c r="B46" s="11" t="str">
        <f>CONCATENATE("          ", "6309", " - ", "TELEPHONE")</f>
        <v xml:space="preserve">          6309 - TELEPHONE</v>
      </c>
      <c r="C46" s="11"/>
      <c r="D46" s="6">
        <v>50</v>
      </c>
      <c r="E46" s="2"/>
      <c r="F46" s="7">
        <f t="shared" si="24"/>
        <v>0</v>
      </c>
      <c r="G46" s="2"/>
      <c r="H46" s="6">
        <v>50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100</v>
      </c>
      <c r="Q46" s="2"/>
      <c r="R46" s="7">
        <f t="shared" si="28"/>
        <v>0</v>
      </c>
      <c r="S46" s="2"/>
      <c r="T46" s="6">
        <v>100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9" customFormat="1" outlineLevel="1" collapsed="1" x14ac:dyDescent="0.25">
      <c r="A47" s="28"/>
      <c r="B47" s="14" t="str">
        <f>CONCATENATE("     ","Training                                          ")</f>
        <v xml:space="preserve">     Training                                          </v>
      </c>
      <c r="C47" s="14"/>
      <c r="D47" s="1">
        <f>SUM(OSRRefD22_4x_0)</f>
        <v>0</v>
      </c>
      <c r="E47" s="1"/>
      <c r="F47" s="5">
        <f t="shared" ref="F47:F50" si="32">IF(D$12=0,0,D47/D$12)</f>
        <v>0</v>
      </c>
      <c r="G47" s="1"/>
      <c r="H47" s="1">
        <f>SUM(OSRRefH22_4x_0)</f>
        <v>200</v>
      </c>
      <c r="I47" s="1"/>
      <c r="J47" s="5">
        <f t="shared" ref="J47:J50" si="33">IF(H$12=0,0,H47/H$12)</f>
        <v>0</v>
      </c>
      <c r="K47" s="1"/>
      <c r="L47" s="1">
        <f t="shared" ref="L47:L50" si="34">+D47-H47</f>
        <v>-200</v>
      </c>
      <c r="M47" s="1"/>
      <c r="N47" s="5">
        <f t="shared" ref="N47:N50" si="35">IF(H47=0,0,L47/H47)</f>
        <v>-1</v>
      </c>
      <c r="O47" s="14"/>
      <c r="P47" s="1">
        <f>SUM(OSRRefP22_4x_0)</f>
        <v>0</v>
      </c>
      <c r="Q47" s="1"/>
      <c r="R47" s="5">
        <f t="shared" ref="R47:R50" si="36">IF(P$12=0,0,P47/P$12)</f>
        <v>0</v>
      </c>
      <c r="S47" s="1"/>
      <c r="T47" s="1">
        <f>SUM(OSRRefT22_4x_0)</f>
        <v>400</v>
      </c>
      <c r="U47" s="1"/>
      <c r="V47" s="5">
        <f t="shared" ref="V47:V50" si="37">IF(T$12=0,0,T47/T$12)</f>
        <v>0</v>
      </c>
      <c r="W47" s="1"/>
      <c r="X47" s="1">
        <f t="shared" ref="X47:X50" si="38">+P47-T47</f>
        <v>-400</v>
      </c>
      <c r="Y47" s="1"/>
      <c r="Z47" s="5">
        <f t="shared" ref="Z47:Z50" si="39">IF(T47=0,0,X47/T47)</f>
        <v>-1</v>
      </c>
    </row>
    <row r="48" spans="1:26" s="24" customFormat="1" hidden="1" outlineLevel="2" x14ac:dyDescent="0.25">
      <c r="A48" s="27"/>
      <c r="B48" s="11" t="str">
        <f>CONCATENATE("          ", "6376", " - ", "TRAINING")</f>
        <v xml:space="preserve">          6376 - TRAINING</v>
      </c>
      <c r="C48" s="11"/>
      <c r="D48" s="6"/>
      <c r="E48" s="2"/>
      <c r="F48" s="7">
        <f t="shared" si="32"/>
        <v>0</v>
      </c>
      <c r="G48" s="2"/>
      <c r="H48" s="6">
        <v>200</v>
      </c>
      <c r="I48" s="2"/>
      <c r="J48" s="7">
        <f t="shared" si="33"/>
        <v>0</v>
      </c>
      <c r="K48" s="2"/>
      <c r="L48" s="6">
        <f t="shared" si="34"/>
        <v>-200</v>
      </c>
      <c r="M48" s="2"/>
      <c r="N48" s="7">
        <f t="shared" si="35"/>
        <v>-1</v>
      </c>
      <c r="O48" s="11"/>
      <c r="P48" s="6"/>
      <c r="Q48" s="2"/>
      <c r="R48" s="7">
        <f t="shared" si="36"/>
        <v>0</v>
      </c>
      <c r="S48" s="2"/>
      <c r="T48" s="6">
        <v>400</v>
      </c>
      <c r="U48" s="2"/>
      <c r="V48" s="7">
        <f t="shared" si="37"/>
        <v>0</v>
      </c>
      <c r="W48" s="2"/>
      <c r="X48" s="6">
        <f t="shared" si="38"/>
        <v>-400</v>
      </c>
      <c r="Y48" s="2"/>
      <c r="Z48" s="7">
        <f t="shared" si="39"/>
        <v>-1</v>
      </c>
    </row>
    <row r="49" spans="1:26" s="29" customFormat="1" outlineLevel="1" collapsed="1" x14ac:dyDescent="0.25">
      <c r="A49" s="28"/>
      <c r="B49" s="14" t="str">
        <f>CONCATENATE("     ","Travel                                            ")</f>
        <v xml:space="preserve">     Travel                                            </v>
      </c>
      <c r="C49" s="14"/>
      <c r="D49" s="1">
        <f>SUM(OSRRefD22_5x_0)</f>
        <v>0</v>
      </c>
      <c r="E49" s="1"/>
      <c r="F49" s="5">
        <f t="shared" si="32"/>
        <v>0</v>
      </c>
      <c r="G49" s="1"/>
      <c r="H49" s="1">
        <f>SUM(OSRRefH22_5x_0)</f>
        <v>300</v>
      </c>
      <c r="I49" s="1"/>
      <c r="J49" s="5">
        <f t="shared" si="33"/>
        <v>0</v>
      </c>
      <c r="K49" s="1"/>
      <c r="L49" s="1">
        <f t="shared" si="34"/>
        <v>-300</v>
      </c>
      <c r="M49" s="1"/>
      <c r="N49" s="5">
        <f t="shared" si="35"/>
        <v>-1</v>
      </c>
      <c r="O49" s="14"/>
      <c r="P49" s="1">
        <f>SUM(OSRRefP22_5x_0)</f>
        <v>0</v>
      </c>
      <c r="Q49" s="1"/>
      <c r="R49" s="5">
        <f t="shared" si="36"/>
        <v>0</v>
      </c>
      <c r="S49" s="1"/>
      <c r="T49" s="1">
        <f>SUM(OSRRefT22_5x_0)</f>
        <v>600</v>
      </c>
      <c r="U49" s="1"/>
      <c r="V49" s="5">
        <f t="shared" si="37"/>
        <v>0</v>
      </c>
      <c r="W49" s="1"/>
      <c r="X49" s="1">
        <f t="shared" si="38"/>
        <v>-600</v>
      </c>
      <c r="Y49" s="1"/>
      <c r="Z49" s="5">
        <f t="shared" si="39"/>
        <v>-1</v>
      </c>
    </row>
    <row r="50" spans="1:26" s="24" customFormat="1" hidden="1" outlineLevel="2" x14ac:dyDescent="0.25">
      <c r="A50" s="27"/>
      <c r="B50" s="11" t="str">
        <f>CONCATENATE("          ", "6292", " - ", "TRAVEL/CONFERENCE")</f>
        <v xml:space="preserve">          6292 - TRAVEL/CONFERENCE</v>
      </c>
      <c r="C50" s="11"/>
      <c r="D50" s="6"/>
      <c r="E50" s="2"/>
      <c r="F50" s="7">
        <f t="shared" si="32"/>
        <v>0</v>
      </c>
      <c r="G50" s="2"/>
      <c r="H50" s="6">
        <v>300</v>
      </c>
      <c r="I50" s="2"/>
      <c r="J50" s="7">
        <f t="shared" si="33"/>
        <v>0</v>
      </c>
      <c r="K50" s="2"/>
      <c r="L50" s="6">
        <f t="shared" si="34"/>
        <v>-300</v>
      </c>
      <c r="M50" s="2"/>
      <c r="N50" s="7">
        <f t="shared" si="35"/>
        <v>-1</v>
      </c>
      <c r="O50" s="11"/>
      <c r="P50" s="6"/>
      <c r="Q50" s="2"/>
      <c r="R50" s="7">
        <f t="shared" si="36"/>
        <v>0</v>
      </c>
      <c r="S50" s="2"/>
      <c r="T50" s="6">
        <v>600</v>
      </c>
      <c r="U50" s="2"/>
      <c r="V50" s="7">
        <f t="shared" si="37"/>
        <v>0</v>
      </c>
      <c r="W50" s="2"/>
      <c r="X50" s="6">
        <f t="shared" si="38"/>
        <v>-600</v>
      </c>
      <c r="Y50" s="2"/>
      <c r="Z50" s="7">
        <f t="shared" si="39"/>
        <v>-1</v>
      </c>
    </row>
    <row r="51" spans="1:26" s="61" customFormat="1" x14ac:dyDescent="0.25">
      <c r="A51" s="36"/>
      <c r="B51" s="36"/>
      <c r="C51" s="36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2" customFormat="1" x14ac:dyDescent="0.25">
      <c r="A52" s="10"/>
      <c r="B52" s="25" t="s">
        <v>0</v>
      </c>
      <c r="C52" s="10"/>
      <c r="D52" s="4">
        <f>SUM(0)</f>
        <v>0</v>
      </c>
      <c r="E52" s="4"/>
      <c r="F52" s="12">
        <f>IF(D$12=0,0,D52/D$12)</f>
        <v>0</v>
      </c>
      <c r="G52" s="4"/>
      <c r="H52" s="4">
        <f>SUM(0)</f>
        <v>0</v>
      </c>
      <c r="I52" s="4"/>
      <c r="J52" s="12">
        <f>IF(H$12=0,0,H52/H$12)</f>
        <v>0</v>
      </c>
      <c r="K52" s="4"/>
      <c r="L52" s="4">
        <f>+D52-H52</f>
        <v>0</v>
      </c>
      <c r="M52" s="4"/>
      <c r="N52" s="12">
        <f>IF(H52=0,0,L52/H52)</f>
        <v>0</v>
      </c>
      <c r="O52" s="10"/>
      <c r="P52" s="4">
        <f>SUM(0)</f>
        <v>0</v>
      </c>
      <c r="Q52" s="4"/>
      <c r="R52" s="12">
        <f>IF(P$12=0,0,P52/P$12)</f>
        <v>0</v>
      </c>
      <c r="S52" s="4"/>
      <c r="T52" s="4">
        <f>SUM(0)</f>
        <v>0</v>
      </c>
      <c r="U52" s="4"/>
      <c r="V52" s="12">
        <f>IF(T$12=0,0,T52/T$12)</f>
        <v>0</v>
      </c>
      <c r="W52" s="4"/>
      <c r="X52" s="4">
        <f>+P52-T52</f>
        <v>0</v>
      </c>
      <c r="Y52" s="4"/>
      <c r="Z52" s="12">
        <f>IF(T52=0,0,X52/T52)</f>
        <v>0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2" customFormat="1" x14ac:dyDescent="0.25">
      <c r="A54" s="10"/>
      <c r="B54" s="26" t="s">
        <v>3</v>
      </c>
      <c r="C54" s="26"/>
      <c r="D54" s="21">
        <f>+D16-D18+D52</f>
        <v>-10800.34</v>
      </c>
      <c r="E54" s="13"/>
      <c r="F54" s="20">
        <f>IF(D$12=0,0,D54/D$12)</f>
        <v>0</v>
      </c>
      <c r="G54" s="13"/>
      <c r="H54" s="21">
        <f>+H16-H18+H52</f>
        <v>-13801.532740000001</v>
      </c>
      <c r="I54" s="13"/>
      <c r="J54" s="20">
        <f>IF(H$12=0,0,H54/H$12)</f>
        <v>0</v>
      </c>
      <c r="K54" s="16"/>
      <c r="L54" s="21">
        <f>+D54-H54</f>
        <v>3001.1927400000004</v>
      </c>
      <c r="M54" s="16"/>
      <c r="N54" s="20">
        <f>IF(H54=0,0,L54/H54)</f>
        <v>-0.21745358262288195</v>
      </c>
      <c r="O54" s="25"/>
      <c r="P54" s="21">
        <f>+P16-P18+P52</f>
        <v>-32322.329999999998</v>
      </c>
      <c r="Q54" s="13"/>
      <c r="R54" s="20">
        <f>IF(P$12=0,0,P54/P$12)</f>
        <v>0</v>
      </c>
      <c r="S54" s="13"/>
      <c r="T54" s="21">
        <f>+T16-T18+T52</f>
        <v>-30308.448665</v>
      </c>
      <c r="U54" s="13"/>
      <c r="V54" s="20">
        <f>IF(T$12=0,0,T54/T$12)</f>
        <v>0</v>
      </c>
      <c r="W54" s="16"/>
      <c r="X54" s="21">
        <f>+P54-T54</f>
        <v>-2013.8813349999982</v>
      </c>
      <c r="Y54" s="16"/>
      <c r="Z54" s="20">
        <f>IF(T54=0,0,X54/T54)</f>
        <v>6.644620307886677E-2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2" customFormat="1" x14ac:dyDescent="0.25">
      <c r="A56" s="52"/>
      <c r="B56" s="10" t="s">
        <v>14</v>
      </c>
      <c r="C56" s="10"/>
      <c r="D56" s="4"/>
      <c r="E56" s="4"/>
      <c r="F56" s="12">
        <f>IF(D$12=0,0,D56/D$12)</f>
        <v>0</v>
      </c>
      <c r="G56" s="4"/>
      <c r="H56" s="4"/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/>
      <c r="Q56" s="4"/>
      <c r="R56" s="12">
        <f>IF(P$12=0,0,P56/P$12)</f>
        <v>0</v>
      </c>
      <c r="S56" s="4"/>
      <c r="T56" s="4"/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2" customFormat="1" ht="15.75" thickBot="1" x14ac:dyDescent="0.3">
      <c r="A58" s="10"/>
      <c r="B58" s="26" t="s">
        <v>4</v>
      </c>
      <c r="C58" s="26"/>
      <c r="D58" s="33">
        <f>+D54-D56</f>
        <v>-10800.34</v>
      </c>
      <c r="E58" s="13"/>
      <c r="F58" s="31">
        <f>IF(D$12=0,0,D58/D$12)</f>
        <v>0</v>
      </c>
      <c r="G58" s="13"/>
      <c r="H58" s="33">
        <f>+H54-H56</f>
        <v>-13801.532740000001</v>
      </c>
      <c r="I58" s="13"/>
      <c r="J58" s="31">
        <f>IF(H$12=0,0,H58/H$12)</f>
        <v>0</v>
      </c>
      <c r="K58" s="16"/>
      <c r="L58" s="33">
        <f>D58-H58</f>
        <v>3001.1927400000004</v>
      </c>
      <c r="M58" s="16"/>
      <c r="N58" s="31">
        <f>IF(H58=0,0,L58/H58)</f>
        <v>-0.21745358262288195</v>
      </c>
      <c r="O58" s="25"/>
      <c r="P58" s="33">
        <f>+P54-P56</f>
        <v>-32322.329999999998</v>
      </c>
      <c r="Q58" s="13"/>
      <c r="R58" s="31">
        <f>IF(P$12=0,0,P58/P$12)</f>
        <v>0</v>
      </c>
      <c r="S58" s="13"/>
      <c r="T58" s="33">
        <f>+T54-T56</f>
        <v>-30308.448665</v>
      </c>
      <c r="U58" s="13"/>
      <c r="V58" s="31">
        <f>IF(T$12=0,0,T58/T$12)</f>
        <v>0</v>
      </c>
      <c r="W58" s="16"/>
      <c r="X58" s="33">
        <f>P58-T58</f>
        <v>-2013.8813349999982</v>
      </c>
      <c r="Y58" s="16"/>
      <c r="Z58" s="31">
        <f>IF(T58=0,0,X58/T58)</f>
        <v>6.644620307886677E-2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2" customFormat="1" ht="15.75" thickBot="1" x14ac:dyDescent="0.3">
      <c r="A61" s="10"/>
      <c r="B61" s="26" t="s">
        <v>5</v>
      </c>
      <c r="C61" s="26"/>
      <c r="D61" s="32">
        <f>SUM(D58:D60)</f>
        <v>-10800.34</v>
      </c>
      <c r="E61" s="13"/>
      <c r="F61" s="35">
        <f>IF(D$12=0,0,D61/D$12)</f>
        <v>0</v>
      </c>
      <c r="G61" s="13"/>
      <c r="H61" s="32">
        <f>SUM(H58:H60)</f>
        <v>-13801.532740000001</v>
      </c>
      <c r="I61" s="13"/>
      <c r="J61" s="35">
        <f>IF(H$12=0,0,H61/H$12)</f>
        <v>0</v>
      </c>
      <c r="K61" s="16"/>
      <c r="L61" s="32">
        <f>+D61-H61</f>
        <v>3001.1927400000004</v>
      </c>
      <c r="M61" s="16"/>
      <c r="N61" s="35">
        <f>IF(H61=0,0,L61/H61)</f>
        <v>-0.21745358262288195</v>
      </c>
      <c r="O61" s="25"/>
      <c r="P61" s="32">
        <f>SUM(P58:P60)</f>
        <v>-32322.329999999998</v>
      </c>
      <c r="Q61" s="13"/>
      <c r="R61" s="35">
        <f>IF(P$12=0,0,P61/P$12)</f>
        <v>0</v>
      </c>
      <c r="S61" s="13"/>
      <c r="T61" s="32">
        <f>SUM(T58:T60)</f>
        <v>-30308.448665</v>
      </c>
      <c r="U61" s="13"/>
      <c r="V61" s="35">
        <f>IF(T$12=0,0,T61/T$12)</f>
        <v>0</v>
      </c>
      <c r="W61" s="16"/>
      <c r="X61" s="32">
        <f>+P61-T61</f>
        <v>-2013.8813349999982</v>
      </c>
      <c r="Y61" s="16"/>
      <c r="Z61" s="35">
        <f>IF(T61=0,0,X61/T61)</f>
        <v>6.644620307886677E-2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59">
        <v>44113.689997997688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2" t="s">
        <v>314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63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","433", " - ", "Hillside Dining Hall")</f>
        <v>Department 433 - Hillside Dining Hall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3157</v>
      </c>
      <c r="E12" s="4"/>
      <c r="F12" s="12"/>
      <c r="G12" s="4"/>
      <c r="H12" s="4">
        <f>SUM(OSRRefH13x_0)</f>
        <v>46319</v>
      </c>
      <c r="I12" s="4"/>
      <c r="J12" s="12"/>
      <c r="K12" s="4"/>
      <c r="L12" s="4">
        <f t="shared" ref="L12:L16" si="0">+D12-H12</f>
        <v>-43162</v>
      </c>
      <c r="M12" s="4"/>
      <c r="N12" s="12">
        <f t="shared" ref="N12:N16" si="1">IF(H12=0,0,L12/H12)</f>
        <v>-0.93184222457306942</v>
      </c>
      <c r="O12" s="10"/>
      <c r="P12" s="4">
        <f>SUM(OSRRefP13x_0)</f>
        <v>22484.920000000002</v>
      </c>
      <c r="Q12" s="4"/>
      <c r="R12" s="12"/>
      <c r="S12" s="4"/>
      <c r="T12" s="4">
        <f>SUM(OSRRefT13x_0)</f>
        <v>46319</v>
      </c>
      <c r="U12" s="4"/>
      <c r="V12" s="12"/>
      <c r="W12" s="4"/>
      <c r="X12" s="4">
        <f t="shared" ref="X12:X16" si="2">+P12-T12</f>
        <v>-23834.079999999998</v>
      </c>
      <c r="Y12" s="4"/>
      <c r="Z12" s="12">
        <f t="shared" ref="Z12:Z16" si="3">IF(T12=0,0,X12/T12)</f>
        <v>-0.51456378591938512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--17.76</f>
        <v>17.760000000000002</v>
      </c>
      <c r="E13" s="2"/>
      <c r="F13" s="23"/>
      <c r="G13" s="2"/>
      <c r="H13" s="2"/>
      <c r="I13" s="2"/>
      <c r="J13" s="23"/>
      <c r="K13" s="2"/>
      <c r="L13" s="2">
        <f t="shared" si="0"/>
        <v>17.760000000000002</v>
      </c>
      <c r="M13" s="2"/>
      <c r="N13" s="23">
        <f t="shared" si="1"/>
        <v>0</v>
      </c>
      <c r="O13" s="11"/>
      <c r="P13" s="2">
        <f>--217.65</f>
        <v>217.65</v>
      </c>
      <c r="Q13" s="2"/>
      <c r="R13" s="23"/>
      <c r="S13" s="2"/>
      <c r="T13" s="2"/>
      <c r="U13" s="2"/>
      <c r="V13" s="23"/>
      <c r="W13" s="2"/>
      <c r="X13" s="2">
        <f t="shared" si="2"/>
        <v>217.65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3"/>
      <c r="G14" s="2"/>
      <c r="H14" s="2">
        <v>46319</v>
      </c>
      <c r="I14" s="2"/>
      <c r="J14" s="23"/>
      <c r="K14" s="2"/>
      <c r="L14" s="2">
        <f t="shared" si="0"/>
        <v>-46319</v>
      </c>
      <c r="M14" s="2"/>
      <c r="N14" s="23">
        <f t="shared" si="1"/>
        <v>-1</v>
      </c>
      <c r="O14" s="11"/>
      <c r="P14" s="2">
        <f>0</f>
        <v>0</v>
      </c>
      <c r="Q14" s="2"/>
      <c r="R14" s="23"/>
      <c r="S14" s="2"/>
      <c r="T14" s="2">
        <v>46319</v>
      </c>
      <c r="U14" s="2"/>
      <c r="V14" s="23"/>
      <c r="W14" s="2"/>
      <c r="X14" s="2">
        <f t="shared" si="2"/>
        <v>-46319</v>
      </c>
      <c r="Y14" s="2"/>
      <c r="Z14" s="23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--1800</f>
        <v>1800</v>
      </c>
      <c r="E15" s="2"/>
      <c r="F15" s="23"/>
      <c r="G15" s="2"/>
      <c r="H15" s="2"/>
      <c r="I15" s="2"/>
      <c r="J15" s="23"/>
      <c r="K15" s="2"/>
      <c r="L15" s="2">
        <f t="shared" si="0"/>
        <v>1800</v>
      </c>
      <c r="M15" s="2"/>
      <c r="N15" s="23">
        <f t="shared" si="1"/>
        <v>0</v>
      </c>
      <c r="O15" s="11"/>
      <c r="P15" s="2">
        <f>--3100</f>
        <v>3100</v>
      </c>
      <c r="Q15" s="2"/>
      <c r="R15" s="23"/>
      <c r="S15" s="2"/>
      <c r="T15" s="2"/>
      <c r="U15" s="2"/>
      <c r="V15" s="23"/>
      <c r="W15" s="2"/>
      <c r="X15" s="2">
        <f t="shared" si="2"/>
        <v>3100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--1339.24</f>
        <v>1339.24</v>
      </c>
      <c r="E16" s="2"/>
      <c r="F16" s="23"/>
      <c r="G16" s="2"/>
      <c r="H16" s="2"/>
      <c r="I16" s="2"/>
      <c r="J16" s="23"/>
      <c r="K16" s="2"/>
      <c r="L16" s="2">
        <f t="shared" si="0"/>
        <v>1339.24</v>
      </c>
      <c r="M16" s="2"/>
      <c r="N16" s="23">
        <f t="shared" si="1"/>
        <v>0</v>
      </c>
      <c r="O16" s="11"/>
      <c r="P16" s="2">
        <f>--19167.27</f>
        <v>19167.27</v>
      </c>
      <c r="Q16" s="2"/>
      <c r="R16" s="23"/>
      <c r="S16" s="2"/>
      <c r="T16" s="2"/>
      <c r="U16" s="2"/>
      <c r="V16" s="23"/>
      <c r="W16" s="2"/>
      <c r="X16" s="2">
        <f t="shared" si="2"/>
        <v>19167.27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13427.3</v>
      </c>
      <c r="E18" s="4"/>
      <c r="F18" s="12">
        <f t="shared" ref="F18:F21" si="4">IF(D$12=0,0,D18/D$12)</f>
        <v>4.2531834019638897</v>
      </c>
      <c r="G18" s="4"/>
      <c r="H18" s="4">
        <f>SUM(OSRRefH16x_0)</f>
        <v>14590</v>
      </c>
      <c r="I18" s="4"/>
      <c r="J18" s="12">
        <f t="shared" ref="J18:J21" si="5">IF(H$12=0,0,H18/H$12)</f>
        <v>0.31498952913491224</v>
      </c>
      <c r="K18" s="4"/>
      <c r="L18" s="4">
        <f t="shared" ref="L18:L21" si="6">+D18-H18</f>
        <v>-1162.7000000000007</v>
      </c>
      <c r="M18" s="4"/>
      <c r="N18" s="12">
        <f t="shared" ref="N18:N21" si="7">IF(H18=0,0,L18/H18)</f>
        <v>-7.9691569568197451E-2</v>
      </c>
      <c r="O18" s="10"/>
      <c r="P18" s="4">
        <f>SUM(OSRRefP16x_0)</f>
        <v>25116.92</v>
      </c>
      <c r="Q18" s="4"/>
      <c r="R18" s="12">
        <f t="shared" ref="R18:R21" si="8">IF(P$12=0,0,P18/P$12)</f>
        <v>1.1170562314653554</v>
      </c>
      <c r="S18" s="4"/>
      <c r="T18" s="4">
        <f>SUM(OSRRefT16x_0)</f>
        <v>14590</v>
      </c>
      <c r="U18" s="4"/>
      <c r="V18" s="12">
        <f t="shared" ref="V18:V21" si="9">IF(T$12=0,0,T18/T$12)</f>
        <v>0.31498952913491224</v>
      </c>
      <c r="W18" s="4"/>
      <c r="X18" s="4">
        <f t="shared" ref="X18:X21" si="10">+P18-T18</f>
        <v>10526.919999999998</v>
      </c>
      <c r="Y18" s="4"/>
      <c r="Z18" s="12">
        <f t="shared" ref="Z18:Z21" si="11">IF(T18=0,0,X18/T18)</f>
        <v>0.72151610692254953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14590</v>
      </c>
      <c r="I19" s="2"/>
      <c r="J19" s="23">
        <f t="shared" si="5"/>
        <v>0.31498952913491224</v>
      </c>
      <c r="K19" s="2"/>
      <c r="L19" s="2">
        <f t="shared" si="6"/>
        <v>-14590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14590</v>
      </c>
      <c r="U19" s="2"/>
      <c r="V19" s="23">
        <f t="shared" si="9"/>
        <v>0.31498952913491224</v>
      </c>
      <c r="W19" s="2"/>
      <c r="X19" s="2">
        <f t="shared" si="10"/>
        <v>-14590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5924.3</v>
      </c>
      <c r="E20" s="2"/>
      <c r="F20" s="23">
        <f t="shared" si="4"/>
        <v>1.8765600253405132</v>
      </c>
      <c r="G20" s="2"/>
      <c r="H20" s="2"/>
      <c r="I20" s="2"/>
      <c r="J20" s="23">
        <f t="shared" si="5"/>
        <v>0</v>
      </c>
      <c r="K20" s="2"/>
      <c r="L20" s="2">
        <f t="shared" si="6"/>
        <v>5924.3</v>
      </c>
      <c r="M20" s="2"/>
      <c r="N20" s="23">
        <f t="shared" si="7"/>
        <v>0</v>
      </c>
      <c r="O20" s="11"/>
      <c r="P20" s="2">
        <v>14204.92</v>
      </c>
      <c r="Q20" s="2"/>
      <c r="R20" s="23">
        <f t="shared" si="8"/>
        <v>0.63175319280655651</v>
      </c>
      <c r="S20" s="2"/>
      <c r="T20" s="2"/>
      <c r="U20" s="2"/>
      <c r="V20" s="23">
        <f t="shared" si="9"/>
        <v>0</v>
      </c>
      <c r="W20" s="2"/>
      <c r="X20" s="2">
        <f t="shared" si="10"/>
        <v>14204.92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7503</v>
      </c>
      <c r="E21" s="2"/>
      <c r="F21" s="23">
        <f t="shared" si="4"/>
        <v>2.3766233766233764</v>
      </c>
      <c r="G21" s="2"/>
      <c r="H21" s="2"/>
      <c r="I21" s="2"/>
      <c r="J21" s="23">
        <f t="shared" si="5"/>
        <v>0</v>
      </c>
      <c r="K21" s="2"/>
      <c r="L21" s="2">
        <f t="shared" si="6"/>
        <v>7503</v>
      </c>
      <c r="M21" s="2"/>
      <c r="N21" s="23">
        <f t="shared" si="7"/>
        <v>0</v>
      </c>
      <c r="O21" s="11"/>
      <c r="P21" s="2">
        <v>10912</v>
      </c>
      <c r="Q21" s="2"/>
      <c r="R21" s="23">
        <f t="shared" si="8"/>
        <v>0.48530303865879881</v>
      </c>
      <c r="S21" s="2"/>
      <c r="T21" s="2"/>
      <c r="U21" s="2"/>
      <c r="V21" s="23">
        <f t="shared" si="9"/>
        <v>0</v>
      </c>
      <c r="W21" s="2"/>
      <c r="X21" s="2">
        <f t="shared" si="10"/>
        <v>10912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-10270.299999999999</v>
      </c>
      <c r="E23" s="13"/>
      <c r="F23" s="20">
        <f>IF(D$12=0,0,D23/D$12)</f>
        <v>-3.2531834019638897</v>
      </c>
      <c r="G23" s="13"/>
      <c r="H23" s="21">
        <f>H12-H18</f>
        <v>31729</v>
      </c>
      <c r="I23" s="13"/>
      <c r="J23" s="20">
        <f>IF(H$12=0,0,H23/H$12)</f>
        <v>0.68501047086508771</v>
      </c>
      <c r="K23" s="16"/>
      <c r="L23" s="21">
        <f>+D23-H23</f>
        <v>-41999.3</v>
      </c>
      <c r="M23" s="16"/>
      <c r="N23" s="20">
        <f>IF(H23=0,0,L23/H23)</f>
        <v>-1.3236881086703016</v>
      </c>
      <c r="O23" s="25"/>
      <c r="P23" s="21">
        <f>P12-P18</f>
        <v>-2631.9999999999964</v>
      </c>
      <c r="Q23" s="13"/>
      <c r="R23" s="20">
        <f>IF(P$12=0,0,P23/P$12)</f>
        <v>-0.11705623146535528</v>
      </c>
      <c r="S23" s="13"/>
      <c r="T23" s="21">
        <f>T12-T18</f>
        <v>31729</v>
      </c>
      <c r="U23" s="13"/>
      <c r="V23" s="20">
        <f>IF(T$12=0,0,T23/T$12)</f>
        <v>0.68501047086508771</v>
      </c>
      <c r="W23" s="16"/>
      <c r="X23" s="21">
        <f>+P23-T23</f>
        <v>-34361</v>
      </c>
      <c r="Y23" s="16"/>
      <c r="Z23" s="20">
        <f>IF(T23=0,0,X23/T23)</f>
        <v>-1.0829525040184058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54062.239999999998</v>
      </c>
      <c r="E25" s="19"/>
      <c r="F25" s="30">
        <f t="shared" ref="F25:F36" si="12">IF(D$12=0,0,D25/D$12)</f>
        <v>17.12456129236617</v>
      </c>
      <c r="G25" s="19"/>
      <c r="H25" s="19">
        <f>SUM(OSRRefH22x_0)</f>
        <v>98434.849450769223</v>
      </c>
      <c r="I25" s="19"/>
      <c r="J25" s="30">
        <f t="shared" ref="J25:J36" si="13">IF(H$12=0,0,H25/H$12)</f>
        <v>2.125150574294981</v>
      </c>
      <c r="K25" s="4"/>
      <c r="L25" s="19">
        <f t="shared" ref="L25:L36" si="14">+D25-H25</f>
        <v>-44372.609450769225</v>
      </c>
      <c r="M25" s="4"/>
      <c r="N25" s="30">
        <f t="shared" ref="N25:N36" si="15">IF(H25=0,0,L25/H25)</f>
        <v>-0.45078150368850362</v>
      </c>
      <c r="O25" s="10"/>
      <c r="P25" s="19">
        <f>SUM(OSRRefP22x_0)</f>
        <v>113521.76999999997</v>
      </c>
      <c r="Q25" s="19"/>
      <c r="R25" s="30">
        <f t="shared" ref="R25:R36" si="16">IF(P$12=0,0,P25/P$12)</f>
        <v>5.0487958151507755</v>
      </c>
      <c r="S25" s="19"/>
      <c r="T25" s="19">
        <f>SUM(OSRRefT22x_0)</f>
        <v>197442.04526423075</v>
      </c>
      <c r="U25" s="19"/>
      <c r="V25" s="30">
        <f t="shared" ref="V25:V36" si="17">IF(T$12=0,0,T25/T$12)</f>
        <v>4.2626577703368111</v>
      </c>
      <c r="W25" s="4"/>
      <c r="X25" s="19">
        <f t="shared" ref="X25:X36" si="18">+P25-T25</f>
        <v>-83920.275264230775</v>
      </c>
      <c r="Y25" s="4"/>
      <c r="Z25" s="30">
        <f t="shared" ref="Z25:Z36" si="19">IF(T25=0,0,X25/T25)</f>
        <v>-0.4250375098775076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20617.259999999998</v>
      </c>
      <c r="E26" s="1"/>
      <c r="F26" s="5">
        <f t="shared" si="12"/>
        <v>6.5306493506493499</v>
      </c>
      <c r="G26" s="1"/>
      <c r="H26" s="1">
        <f>SUM(OSRRefH22_0x_0)</f>
        <v>29000.227912307735</v>
      </c>
      <c r="I26" s="1"/>
      <c r="J26" s="5">
        <f t="shared" si="13"/>
        <v>0.62609788450328663</v>
      </c>
      <c r="K26" s="1"/>
      <c r="L26" s="1">
        <f t="shared" si="14"/>
        <v>-8382.9679123077367</v>
      </c>
      <c r="M26" s="1"/>
      <c r="N26" s="5">
        <f t="shared" si="15"/>
        <v>-0.28906558726560883</v>
      </c>
      <c r="O26" s="14"/>
      <c r="P26" s="1">
        <f>SUM(OSRRefP22_0x_0)</f>
        <v>39236.279999999992</v>
      </c>
      <c r="Q26" s="1"/>
      <c r="R26" s="5">
        <f t="shared" si="16"/>
        <v>1.745004207264246</v>
      </c>
      <c r="S26" s="1"/>
      <c r="T26" s="1">
        <f>SUM(OSRRefT22_0x_0)</f>
        <v>62233.396802692361</v>
      </c>
      <c r="U26" s="1"/>
      <c r="V26" s="5">
        <f t="shared" si="17"/>
        <v>1.3435824780908991</v>
      </c>
      <c r="W26" s="1"/>
      <c r="X26" s="1">
        <f t="shared" si="18"/>
        <v>-22997.11680269237</v>
      </c>
      <c r="Y26" s="1"/>
      <c r="Z26" s="5">
        <f t="shared" si="19"/>
        <v>-0.36953015557874003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1932.91</v>
      </c>
      <c r="E27" s="2"/>
      <c r="F27" s="7">
        <f t="shared" si="12"/>
        <v>0.6122616407982262</v>
      </c>
      <c r="G27" s="2"/>
      <c r="H27" s="6">
        <v>3129.26460461538</v>
      </c>
      <c r="I27" s="2"/>
      <c r="J27" s="7">
        <f t="shared" si="13"/>
        <v>6.7558984533676897E-2</v>
      </c>
      <c r="K27" s="2"/>
      <c r="L27" s="6">
        <f t="shared" si="14"/>
        <v>-1196.3546046153799</v>
      </c>
      <c r="M27" s="2"/>
      <c r="N27" s="7">
        <f t="shared" si="15"/>
        <v>-0.38231174278163182</v>
      </c>
      <c r="O27" s="11"/>
      <c r="P27" s="6">
        <v>3827.36</v>
      </c>
      <c r="Q27" s="2"/>
      <c r="R27" s="7">
        <f t="shared" si="16"/>
        <v>0.17021897342752387</v>
      </c>
      <c r="S27" s="2"/>
      <c r="T27" s="6">
        <v>6489.8293603846096</v>
      </c>
      <c r="U27" s="2"/>
      <c r="V27" s="7">
        <f t="shared" si="17"/>
        <v>0.14011160345397375</v>
      </c>
      <c r="W27" s="2"/>
      <c r="X27" s="6">
        <f t="shared" si="18"/>
        <v>-2662.4693603846094</v>
      </c>
      <c r="Y27" s="2"/>
      <c r="Z27" s="7">
        <f t="shared" si="19"/>
        <v>-0.41025259872577335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1080.0999999999999</v>
      </c>
      <c r="E28" s="2"/>
      <c r="F28" s="7">
        <f t="shared" si="12"/>
        <v>0.34212860310421284</v>
      </c>
      <c r="G28" s="2"/>
      <c r="H28" s="6">
        <v>1754.1546000000001</v>
      </c>
      <c r="I28" s="2"/>
      <c r="J28" s="7">
        <f t="shared" si="13"/>
        <v>3.7871167339536695E-2</v>
      </c>
      <c r="K28" s="2"/>
      <c r="L28" s="6">
        <f t="shared" si="14"/>
        <v>-674.05460000000016</v>
      </c>
      <c r="M28" s="2"/>
      <c r="N28" s="7">
        <f t="shared" si="15"/>
        <v>-0.38426179767735419</v>
      </c>
      <c r="O28" s="11"/>
      <c r="P28" s="6">
        <v>2142.4</v>
      </c>
      <c r="Q28" s="2"/>
      <c r="R28" s="7">
        <f t="shared" si="16"/>
        <v>9.5281637648699652E-2</v>
      </c>
      <c r="S28" s="2"/>
      <c r="T28" s="6">
        <v>3637.96785</v>
      </c>
      <c r="U28" s="2"/>
      <c r="V28" s="7">
        <f t="shared" si="17"/>
        <v>7.8541588764869705E-2</v>
      </c>
      <c r="W28" s="2"/>
      <c r="X28" s="6">
        <f t="shared" si="18"/>
        <v>-1495.5678499999999</v>
      </c>
      <c r="Y28" s="2"/>
      <c r="Z28" s="7">
        <f t="shared" si="19"/>
        <v>-0.41109979847677869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12526.51</v>
      </c>
      <c r="E29" s="2"/>
      <c r="F29" s="7">
        <f t="shared" si="12"/>
        <v>3.9678523915109283</v>
      </c>
      <c r="G29" s="2"/>
      <c r="H29" s="6">
        <v>18733.8461538462</v>
      </c>
      <c r="I29" s="2"/>
      <c r="J29" s="7">
        <f t="shared" si="13"/>
        <v>0.40445273330266629</v>
      </c>
      <c r="K29" s="2"/>
      <c r="L29" s="6">
        <f t="shared" si="14"/>
        <v>-6207.3361538461995</v>
      </c>
      <c r="M29" s="2"/>
      <c r="N29" s="7">
        <f t="shared" si="15"/>
        <v>-0.3313433932824193</v>
      </c>
      <c r="O29" s="11"/>
      <c r="P29" s="6">
        <v>22353.09</v>
      </c>
      <c r="Q29" s="2"/>
      <c r="R29" s="7">
        <f t="shared" si="16"/>
        <v>0.99413695934875457</v>
      </c>
      <c r="S29" s="2"/>
      <c r="T29" s="6">
        <v>40666.153846153895</v>
      </c>
      <c r="U29" s="2"/>
      <c r="V29" s="7">
        <f t="shared" si="17"/>
        <v>0.87795837229115259</v>
      </c>
      <c r="W29" s="2"/>
      <c r="X29" s="6">
        <f t="shared" si="18"/>
        <v>-18313.063846153895</v>
      </c>
      <c r="Y29" s="2"/>
      <c r="Z29" s="7">
        <f t="shared" si="19"/>
        <v>-0.45032692089433729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65.459999999999994</v>
      </c>
      <c r="E30" s="2"/>
      <c r="F30" s="7">
        <f t="shared" si="12"/>
        <v>2.0734874881216343E-2</v>
      </c>
      <c r="G30" s="2"/>
      <c r="H30" s="6">
        <v>106.3124</v>
      </c>
      <c r="I30" s="2"/>
      <c r="J30" s="7">
        <f t="shared" si="13"/>
        <v>2.2952222630022237E-3</v>
      </c>
      <c r="K30" s="2"/>
      <c r="L30" s="6">
        <f t="shared" si="14"/>
        <v>-40.852400000000003</v>
      </c>
      <c r="M30" s="2"/>
      <c r="N30" s="7">
        <f t="shared" si="15"/>
        <v>-0.38426749842915786</v>
      </c>
      <c r="O30" s="11"/>
      <c r="P30" s="6">
        <v>129.84</v>
      </c>
      <c r="Q30" s="2"/>
      <c r="R30" s="7">
        <f t="shared" si="16"/>
        <v>5.7745368896131273E-3</v>
      </c>
      <c r="S30" s="2"/>
      <c r="T30" s="6">
        <v>220.4829</v>
      </c>
      <c r="U30" s="2"/>
      <c r="V30" s="7">
        <f t="shared" si="17"/>
        <v>4.7600962887799827E-3</v>
      </c>
      <c r="W30" s="2"/>
      <c r="X30" s="6">
        <f t="shared" si="18"/>
        <v>-90.642899999999997</v>
      </c>
      <c r="Y30" s="2"/>
      <c r="Z30" s="7">
        <f t="shared" si="19"/>
        <v>-0.41111079362617237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950.04</v>
      </c>
      <c r="E31" s="2"/>
      <c r="F31" s="7">
        <f t="shared" si="12"/>
        <v>0.3009312638580931</v>
      </c>
      <c r="G31" s="2"/>
      <c r="H31" s="6">
        <v>1246.0870769230798</v>
      </c>
      <c r="I31" s="2"/>
      <c r="J31" s="7">
        <f t="shared" si="13"/>
        <v>2.690228797951337E-2</v>
      </c>
      <c r="K31" s="2"/>
      <c r="L31" s="6">
        <f t="shared" si="14"/>
        <v>-296.04707692307989</v>
      </c>
      <c r="M31" s="2"/>
      <c r="N31" s="7">
        <f t="shared" si="15"/>
        <v>-0.2375813716438652</v>
      </c>
      <c r="O31" s="11"/>
      <c r="P31" s="6">
        <v>2375.09</v>
      </c>
      <c r="Q31" s="2"/>
      <c r="R31" s="7">
        <f t="shared" si="16"/>
        <v>0.10563035136438111</v>
      </c>
      <c r="S31" s="2"/>
      <c r="T31" s="6">
        <v>2803.6959230769298</v>
      </c>
      <c r="U31" s="2"/>
      <c r="V31" s="7">
        <f t="shared" si="17"/>
        <v>6.0530147953905086E-2</v>
      </c>
      <c r="W31" s="2"/>
      <c r="X31" s="6">
        <f t="shared" si="18"/>
        <v>-428.60592307692968</v>
      </c>
      <c r="Y31" s="2"/>
      <c r="Z31" s="7">
        <f t="shared" si="19"/>
        <v>-0.15287175743600398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336.5</v>
      </c>
      <c r="E33" s="2"/>
      <c r="F33" s="7">
        <f t="shared" si="12"/>
        <v>0.10658853341780171</v>
      </c>
      <c r="G33" s="2"/>
      <c r="H33" s="6"/>
      <c r="I33" s="2"/>
      <c r="J33" s="7">
        <f t="shared" si="13"/>
        <v>0</v>
      </c>
      <c r="K33" s="2"/>
      <c r="L33" s="6">
        <f t="shared" si="14"/>
        <v>336.5</v>
      </c>
      <c r="M33" s="2"/>
      <c r="N33" s="7">
        <f t="shared" si="15"/>
        <v>0</v>
      </c>
      <c r="O33" s="11"/>
      <c r="P33" s="6">
        <v>861.42</v>
      </c>
      <c r="Q33" s="2"/>
      <c r="R33" s="7">
        <f t="shared" si="16"/>
        <v>3.831101022374106E-2</v>
      </c>
      <c r="S33" s="2"/>
      <c r="T33" s="6"/>
      <c r="U33" s="2"/>
      <c r="V33" s="7">
        <f t="shared" si="17"/>
        <v>0</v>
      </c>
      <c r="W33" s="2"/>
      <c r="X33" s="6">
        <f t="shared" si="18"/>
        <v>861.42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1852.16</v>
      </c>
      <c r="E34" s="2"/>
      <c r="F34" s="7">
        <f t="shared" si="12"/>
        <v>0.5866835603420969</v>
      </c>
      <c r="G34" s="2"/>
      <c r="H34" s="6">
        <v>1260.2815384615399</v>
      </c>
      <c r="I34" s="2"/>
      <c r="J34" s="7">
        <f t="shared" si="13"/>
        <v>2.7208738065621879E-2</v>
      </c>
      <c r="K34" s="2"/>
      <c r="L34" s="6">
        <f t="shared" si="14"/>
        <v>591.87846153846021</v>
      </c>
      <c r="M34" s="2"/>
      <c r="N34" s="7">
        <f t="shared" si="15"/>
        <v>0.46963987289775144</v>
      </c>
      <c r="O34" s="11"/>
      <c r="P34" s="6">
        <v>3704.32</v>
      </c>
      <c r="Q34" s="2"/>
      <c r="R34" s="7">
        <f t="shared" si="16"/>
        <v>0.16474686145203096</v>
      </c>
      <c r="S34" s="2"/>
      <c r="T34" s="6">
        <v>2835.6334615384599</v>
      </c>
      <c r="U34" s="2"/>
      <c r="V34" s="7">
        <f t="shared" si="17"/>
        <v>6.1219660647649124E-2</v>
      </c>
      <c r="W34" s="2"/>
      <c r="X34" s="6">
        <f t="shared" si="18"/>
        <v>868.68653846154029</v>
      </c>
      <c r="Y34" s="2"/>
      <c r="Z34" s="7">
        <f t="shared" si="19"/>
        <v>0.3063465536868924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1214.78</v>
      </c>
      <c r="E35" s="2"/>
      <c r="F35" s="7">
        <f t="shared" si="12"/>
        <v>0.38478935698447891</v>
      </c>
      <c r="G35" s="2"/>
      <c r="H35" s="6">
        <v>1020.28153846154</v>
      </c>
      <c r="I35" s="2"/>
      <c r="J35" s="7">
        <f t="shared" si="13"/>
        <v>2.2027279053121612E-2</v>
      </c>
      <c r="K35" s="2"/>
      <c r="L35" s="6">
        <f t="shared" si="14"/>
        <v>194.49846153845999</v>
      </c>
      <c r="M35" s="2"/>
      <c r="N35" s="7">
        <f t="shared" si="15"/>
        <v>0.19063214829089226</v>
      </c>
      <c r="O35" s="11"/>
      <c r="P35" s="6">
        <v>2429.56</v>
      </c>
      <c r="Q35" s="2"/>
      <c r="R35" s="7">
        <f t="shared" si="16"/>
        <v>0.10805286387498821</v>
      </c>
      <c r="S35" s="2"/>
      <c r="T35" s="6">
        <v>2079.6334615384599</v>
      </c>
      <c r="U35" s="2"/>
      <c r="V35" s="7">
        <f t="shared" si="17"/>
        <v>4.4898064758273279E-2</v>
      </c>
      <c r="W35" s="2"/>
      <c r="X35" s="6">
        <f t="shared" si="18"/>
        <v>349.92653846154008</v>
      </c>
      <c r="Y35" s="2"/>
      <c r="Z35" s="7">
        <f t="shared" si="19"/>
        <v>0.16826356419687213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658.8</v>
      </c>
      <c r="E36" s="2"/>
      <c r="F36" s="7">
        <f t="shared" si="12"/>
        <v>0.20867912575229647</v>
      </c>
      <c r="G36" s="2"/>
      <c r="H36" s="6">
        <v>1750</v>
      </c>
      <c r="I36" s="2"/>
      <c r="J36" s="7">
        <f t="shared" si="13"/>
        <v>3.7781471966147798E-2</v>
      </c>
      <c r="K36" s="2"/>
      <c r="L36" s="6">
        <f t="shared" si="14"/>
        <v>-1091.2</v>
      </c>
      <c r="M36" s="2"/>
      <c r="N36" s="7">
        <f t="shared" si="15"/>
        <v>-0.62354285714285718</v>
      </c>
      <c r="O36" s="11"/>
      <c r="P36" s="6">
        <v>1413.2</v>
      </c>
      <c r="Q36" s="2"/>
      <c r="R36" s="7">
        <f t="shared" si="16"/>
        <v>6.2851013034513792E-2</v>
      </c>
      <c r="S36" s="2"/>
      <c r="T36" s="6">
        <v>3500</v>
      </c>
      <c r="U36" s="2"/>
      <c r="V36" s="7">
        <f t="shared" si="17"/>
        <v>7.5562943932295595E-2</v>
      </c>
      <c r="W36" s="2"/>
      <c r="X36" s="6">
        <f t="shared" si="18"/>
        <v>-2086.8000000000002</v>
      </c>
      <c r="Y36" s="2"/>
      <c r="Z36" s="7">
        <f t="shared" si="19"/>
        <v>-0.59622857142857144</v>
      </c>
    </row>
    <row r="37" spans="1:26" s="29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20940.560000000001</v>
      </c>
      <c r="E37" s="1"/>
      <c r="F37" s="5">
        <f t="shared" ref="F37:F47" si="20">IF(D$12=0,0,D37/D$12)</f>
        <v>6.6330566993981632</v>
      </c>
      <c r="G37" s="1"/>
      <c r="H37" s="1">
        <f>SUM(OSRRefH22_1x_0)</f>
        <v>38781.621538461499</v>
      </c>
      <c r="I37" s="1"/>
      <c r="J37" s="5">
        <f t="shared" ref="J37:J47" si="21">IF(H$12=0,0,H37/H$12)</f>
        <v>0.83727242683264969</v>
      </c>
      <c r="K37" s="1"/>
      <c r="L37" s="1">
        <f t="shared" ref="L37:L47" si="22">+D37-H37</f>
        <v>-17841.061538461498</v>
      </c>
      <c r="M37" s="1"/>
      <c r="N37" s="5">
        <f t="shared" ref="N37:N47" si="23">IF(H37=0,0,L37/H37)</f>
        <v>-0.46003908116033015</v>
      </c>
      <c r="O37" s="14"/>
      <c r="P37" s="1">
        <f>SUM(OSRRefP22_1x_0)</f>
        <v>44854.67</v>
      </c>
      <c r="Q37" s="1"/>
      <c r="R37" s="5">
        <f t="shared" ref="R37:R47" si="24">IF(P$12=0,0,P37/P$12)</f>
        <v>1.994877900388349</v>
      </c>
      <c r="S37" s="1"/>
      <c r="T37" s="1">
        <f>SUM(OSRRefT22_1x_0)</f>
        <v>80058.648461538396</v>
      </c>
      <c r="U37" s="1"/>
      <c r="V37" s="5">
        <f t="shared" ref="V37:V47" si="25">IF(T$12=0,0,T37/T$12)</f>
        <v>1.728419189998454</v>
      </c>
      <c r="W37" s="1"/>
      <c r="X37" s="1">
        <f t="shared" ref="X37:X47" si="26">+P37-T37</f>
        <v>-35203.978461538398</v>
      </c>
      <c r="Y37" s="1"/>
      <c r="Z37" s="5">
        <f t="shared" ref="Z37:Z47" si="27">IF(T37=0,0,X37/T37)</f>
        <v>-0.4397273641017187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7766.02</v>
      </c>
      <c r="E39" s="2"/>
      <c r="F39" s="7">
        <f t="shared" si="20"/>
        <v>2.4599366487171368</v>
      </c>
      <c r="G39" s="2"/>
      <c r="H39" s="6">
        <v>13620.021538461498</v>
      </c>
      <c r="I39" s="2"/>
      <c r="J39" s="7">
        <f t="shared" si="21"/>
        <v>0.29404826396212136</v>
      </c>
      <c r="K39" s="2"/>
      <c r="L39" s="6">
        <f t="shared" si="22"/>
        <v>-5854.0015384614981</v>
      </c>
      <c r="M39" s="2"/>
      <c r="N39" s="7">
        <f t="shared" si="23"/>
        <v>-0.42980853752179593</v>
      </c>
      <c r="O39" s="11"/>
      <c r="P39" s="6">
        <v>18844.240000000002</v>
      </c>
      <c r="Q39" s="2"/>
      <c r="R39" s="7">
        <f t="shared" si="24"/>
        <v>0.83808347995011767</v>
      </c>
      <c r="S39" s="2"/>
      <c r="T39" s="6">
        <v>30645.048461538401</v>
      </c>
      <c r="U39" s="2"/>
      <c r="V39" s="7">
        <f t="shared" si="25"/>
        <v>0.66160859391477367</v>
      </c>
      <c r="W39" s="2"/>
      <c r="X39" s="6">
        <f t="shared" si="26"/>
        <v>-11800.8084615384</v>
      </c>
      <c r="Y39" s="2"/>
      <c r="Z39" s="7">
        <f t="shared" si="27"/>
        <v>-0.38508043073742265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12044.54</v>
      </c>
      <c r="E41" s="2"/>
      <c r="F41" s="7">
        <f t="shared" si="20"/>
        <v>3.8151853025023761</v>
      </c>
      <c r="G41" s="2"/>
      <c r="H41" s="6">
        <v>25161.599999999999</v>
      </c>
      <c r="I41" s="2"/>
      <c r="J41" s="7">
        <f t="shared" si="21"/>
        <v>0.54322416287052822</v>
      </c>
      <c r="K41" s="2"/>
      <c r="L41" s="6">
        <f t="shared" si="22"/>
        <v>-13117.059999999998</v>
      </c>
      <c r="M41" s="2"/>
      <c r="N41" s="7">
        <f t="shared" si="23"/>
        <v>-0.52131263512654202</v>
      </c>
      <c r="O41" s="11"/>
      <c r="P41" s="6">
        <v>22746.43</v>
      </c>
      <c r="Q41" s="2"/>
      <c r="R41" s="7">
        <f t="shared" si="24"/>
        <v>1.0116304616605263</v>
      </c>
      <c r="S41" s="2"/>
      <c r="T41" s="6">
        <v>49413.599999999999</v>
      </c>
      <c r="U41" s="2"/>
      <c r="V41" s="7">
        <f t="shared" si="25"/>
        <v>1.0668105960836805</v>
      </c>
      <c r="W41" s="2"/>
      <c r="X41" s="6">
        <f t="shared" si="26"/>
        <v>-26667.17</v>
      </c>
      <c r="Y41" s="2"/>
      <c r="Z41" s="7">
        <f t="shared" si="27"/>
        <v>-0.53967268120517431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1130</v>
      </c>
      <c r="E44" s="2"/>
      <c r="F44" s="7">
        <f t="shared" si="20"/>
        <v>0.35793474817865062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1130</v>
      </c>
      <c r="M44" s="2"/>
      <c r="N44" s="7">
        <f t="shared" si="23"/>
        <v>0</v>
      </c>
      <c r="O44" s="11"/>
      <c r="P44" s="6">
        <v>3264</v>
      </c>
      <c r="Q44" s="2"/>
      <c r="R44" s="7">
        <f t="shared" si="24"/>
        <v>0.14516395877770522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3264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8">IF(D$12=0,0,D48/D$12)</f>
        <v>0</v>
      </c>
      <c r="G48" s="1"/>
      <c r="H48" s="1">
        <f>SUM(OSRRefH22_2x_0)</f>
        <v>500</v>
      </c>
      <c r="I48" s="1"/>
      <c r="J48" s="5">
        <f t="shared" ref="J48:J68" si="29">IF(H$12=0,0,H48/H$12)</f>
        <v>1.0794706276042228E-2</v>
      </c>
      <c r="K48" s="1"/>
      <c r="L48" s="1">
        <f t="shared" ref="L48:L68" si="30">+D48-H48</f>
        <v>-500</v>
      </c>
      <c r="M48" s="1"/>
      <c r="N48" s="5">
        <f t="shared" ref="N48:N68" si="31">IF(H48=0,0,L48/H48)</f>
        <v>-1</v>
      </c>
      <c r="O48" s="14"/>
      <c r="P48" s="1">
        <f>SUM(OSRRefP22_2x_0)</f>
        <v>204.75</v>
      </c>
      <c r="Q48" s="1"/>
      <c r="R48" s="5">
        <f t="shared" ref="R48:R68" si="32">IF(P$12=0,0,P48/P$12)</f>
        <v>9.1061031126639536E-3</v>
      </c>
      <c r="S48" s="1"/>
      <c r="T48" s="1">
        <f>SUM(OSRRefT22_2x_0)</f>
        <v>1000</v>
      </c>
      <c r="U48" s="1"/>
      <c r="V48" s="5">
        <f t="shared" ref="V48:V68" si="33">IF(T$12=0,0,T48/T$12)</f>
        <v>2.1589412552084457E-2</v>
      </c>
      <c r="W48" s="1"/>
      <c r="X48" s="1">
        <f t="shared" ref="X48:X68" si="34">+P48-T48</f>
        <v>-795.25</v>
      </c>
      <c r="Y48" s="1"/>
      <c r="Z48" s="5">
        <f t="shared" ref="Z48:Z68" si="35">IF(T48=0,0,X48/T48)</f>
        <v>-0.79525000000000001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500</v>
      </c>
      <c r="I49" s="2"/>
      <c r="J49" s="7">
        <f t="shared" si="29"/>
        <v>1.0794706276042228E-2</v>
      </c>
      <c r="K49" s="2"/>
      <c r="L49" s="6">
        <f t="shared" si="30"/>
        <v>-500</v>
      </c>
      <c r="M49" s="2"/>
      <c r="N49" s="7">
        <f t="shared" si="31"/>
        <v>-1</v>
      </c>
      <c r="O49" s="11"/>
      <c r="P49" s="6">
        <v>204.75</v>
      </c>
      <c r="Q49" s="2"/>
      <c r="R49" s="7">
        <f t="shared" si="32"/>
        <v>9.1061031126639536E-3</v>
      </c>
      <c r="S49" s="2"/>
      <c r="T49" s="6">
        <v>1000</v>
      </c>
      <c r="U49" s="2"/>
      <c r="V49" s="7">
        <f t="shared" si="33"/>
        <v>2.1589412552084457E-2</v>
      </c>
      <c r="W49" s="2"/>
      <c r="X49" s="6">
        <f t="shared" si="34"/>
        <v>-795.25</v>
      </c>
      <c r="Y49" s="2"/>
      <c r="Z49" s="7">
        <f t="shared" si="35"/>
        <v>-0.79525000000000001</v>
      </c>
    </row>
    <row r="50" spans="1:26" s="29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15</v>
      </c>
      <c r="I50" s="1"/>
      <c r="J50" s="5">
        <f t="shared" si="29"/>
        <v>3.2384118828126688E-4</v>
      </c>
      <c r="K50" s="1"/>
      <c r="L50" s="1">
        <f t="shared" si="30"/>
        <v>-15</v>
      </c>
      <c r="M50" s="1"/>
      <c r="N50" s="5">
        <f t="shared" si="31"/>
        <v>-1</v>
      </c>
      <c r="O50" s="14"/>
      <c r="P50" s="1">
        <f>SUM(OSRRefP22_3x_0)</f>
        <v>0</v>
      </c>
      <c r="Q50" s="1"/>
      <c r="R50" s="5">
        <f t="shared" si="32"/>
        <v>0</v>
      </c>
      <c r="S50" s="1"/>
      <c r="T50" s="1">
        <f>SUM(OSRRefT22_3x_0)</f>
        <v>30</v>
      </c>
      <c r="U50" s="1"/>
      <c r="V50" s="5">
        <f t="shared" si="33"/>
        <v>6.4768237656253377E-4</v>
      </c>
      <c r="W50" s="1"/>
      <c r="X50" s="1">
        <f t="shared" si="34"/>
        <v>-30</v>
      </c>
      <c r="Y50" s="1"/>
      <c r="Z50" s="5">
        <f t="shared" si="35"/>
        <v>-1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15</v>
      </c>
      <c r="I51" s="2"/>
      <c r="J51" s="7">
        <f t="shared" si="29"/>
        <v>3.2384118828126688E-4</v>
      </c>
      <c r="K51" s="2"/>
      <c r="L51" s="6">
        <f t="shared" si="30"/>
        <v>-15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30</v>
      </c>
      <c r="U51" s="2"/>
      <c r="V51" s="7">
        <f t="shared" si="33"/>
        <v>6.4768237656253377E-4</v>
      </c>
      <c r="W51" s="2"/>
      <c r="X51" s="6">
        <f t="shared" si="34"/>
        <v>-30</v>
      </c>
      <c r="Y51" s="2"/>
      <c r="Z51" s="7">
        <f t="shared" si="35"/>
        <v>-1</v>
      </c>
    </row>
    <row r="52" spans="1:26" s="29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250</v>
      </c>
      <c r="I52" s="1"/>
      <c r="J52" s="5">
        <f t="shared" si="29"/>
        <v>5.3973531380211142E-3</v>
      </c>
      <c r="K52" s="1"/>
      <c r="L52" s="1">
        <f t="shared" si="30"/>
        <v>-250</v>
      </c>
      <c r="M52" s="1"/>
      <c r="N52" s="5">
        <f t="shared" si="31"/>
        <v>-1</v>
      </c>
      <c r="O52" s="14"/>
      <c r="P52" s="1">
        <f>SUM(OSRRefP22_4x_0)</f>
        <v>0</v>
      </c>
      <c r="Q52" s="1"/>
      <c r="R52" s="5">
        <f t="shared" si="32"/>
        <v>0</v>
      </c>
      <c r="S52" s="1"/>
      <c r="T52" s="1">
        <f>SUM(OSRRefT22_4x_0)</f>
        <v>500</v>
      </c>
      <c r="U52" s="1"/>
      <c r="V52" s="5">
        <f t="shared" si="33"/>
        <v>1.0794706276042228E-2</v>
      </c>
      <c r="W52" s="1"/>
      <c r="X52" s="1">
        <f t="shared" si="34"/>
        <v>-500</v>
      </c>
      <c r="Y52" s="1"/>
      <c r="Z52" s="5">
        <f t="shared" si="35"/>
        <v>-1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250</v>
      </c>
      <c r="I53" s="2"/>
      <c r="J53" s="7">
        <f t="shared" si="29"/>
        <v>5.3973531380211142E-3</v>
      </c>
      <c r="K53" s="2"/>
      <c r="L53" s="6">
        <f t="shared" si="30"/>
        <v>-250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500</v>
      </c>
      <c r="U53" s="2"/>
      <c r="V53" s="7">
        <f t="shared" si="33"/>
        <v>1.0794706276042228E-2</v>
      </c>
      <c r="W53" s="2"/>
      <c r="X53" s="6">
        <f t="shared" si="34"/>
        <v>-500</v>
      </c>
      <c r="Y53" s="2"/>
      <c r="Z53" s="7">
        <f t="shared" si="35"/>
        <v>-1</v>
      </c>
    </row>
    <row r="54" spans="1:26" s="29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281.26</v>
      </c>
      <c r="E54" s="1"/>
      <c r="F54" s="5">
        <f t="shared" si="28"/>
        <v>8.9090909090909082E-2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281.26</v>
      </c>
      <c r="M54" s="1"/>
      <c r="N54" s="5">
        <f t="shared" si="31"/>
        <v>0</v>
      </c>
      <c r="O54" s="14"/>
      <c r="P54" s="1">
        <f>SUM(OSRRefP22_5x_0)</f>
        <v>281.26</v>
      </c>
      <c r="Q54" s="1"/>
      <c r="R54" s="5">
        <f t="shared" si="32"/>
        <v>1.2508828139037184E-2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281.26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281.26</v>
      </c>
      <c r="E55" s="2"/>
      <c r="F55" s="7">
        <f t="shared" si="28"/>
        <v>8.9090909090909082E-2</v>
      </c>
      <c r="G55" s="2"/>
      <c r="H55" s="6"/>
      <c r="I55" s="2"/>
      <c r="J55" s="7">
        <f t="shared" si="29"/>
        <v>0</v>
      </c>
      <c r="K55" s="2"/>
      <c r="L55" s="6">
        <f t="shared" si="30"/>
        <v>281.26</v>
      </c>
      <c r="M55" s="2"/>
      <c r="N55" s="7">
        <f t="shared" si="31"/>
        <v>0</v>
      </c>
      <c r="O55" s="11"/>
      <c r="P55" s="6">
        <v>281.26</v>
      </c>
      <c r="Q55" s="2"/>
      <c r="R55" s="7">
        <f t="shared" si="32"/>
        <v>1.2508828139037184E-2</v>
      </c>
      <c r="S55" s="2"/>
      <c r="T55" s="6"/>
      <c r="U55" s="2"/>
      <c r="V55" s="7">
        <f t="shared" si="33"/>
        <v>0</v>
      </c>
      <c r="W55" s="2"/>
      <c r="X55" s="6">
        <f t="shared" si="34"/>
        <v>281.26</v>
      </c>
      <c r="Y55" s="2"/>
      <c r="Z55" s="7">
        <f t="shared" si="35"/>
        <v>0</v>
      </c>
    </row>
    <row r="56" spans="1:26" s="29" customFormat="1" outlineLevel="1" collapsed="1" x14ac:dyDescent="0.25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5000</v>
      </c>
      <c r="I56" s="1"/>
      <c r="J56" s="5">
        <f t="shared" si="29"/>
        <v>0.10794706276042229</v>
      </c>
      <c r="K56" s="1"/>
      <c r="L56" s="1">
        <f t="shared" si="30"/>
        <v>-5000</v>
      </c>
      <c r="M56" s="1"/>
      <c r="N56" s="5">
        <f t="shared" si="31"/>
        <v>-1</v>
      </c>
      <c r="O56" s="14"/>
      <c r="P56" s="1">
        <f>SUM(OSRRefP22_6x_0)</f>
        <v>0</v>
      </c>
      <c r="Q56" s="1"/>
      <c r="R56" s="5">
        <f t="shared" si="32"/>
        <v>0</v>
      </c>
      <c r="S56" s="1"/>
      <c r="T56" s="1">
        <f>SUM(OSRRefT22_6x_0)</f>
        <v>5000</v>
      </c>
      <c r="U56" s="1"/>
      <c r="V56" s="5">
        <f t="shared" si="33"/>
        <v>0.10794706276042229</v>
      </c>
      <c r="W56" s="1"/>
      <c r="X56" s="1">
        <f t="shared" si="34"/>
        <v>-5000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8"/>
        <v>0</v>
      </c>
      <c r="G57" s="2"/>
      <c r="H57" s="6">
        <v>5000</v>
      </c>
      <c r="I57" s="2"/>
      <c r="J57" s="7">
        <f t="shared" si="29"/>
        <v>0.10794706276042229</v>
      </c>
      <c r="K57" s="2"/>
      <c r="L57" s="6">
        <f t="shared" si="30"/>
        <v>-5000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5000</v>
      </c>
      <c r="U57" s="2"/>
      <c r="V57" s="7">
        <f t="shared" si="33"/>
        <v>0.10794706276042229</v>
      </c>
      <c r="W57" s="2"/>
      <c r="X57" s="6">
        <f t="shared" si="34"/>
        <v>-5000</v>
      </c>
      <c r="Y57" s="2"/>
      <c r="Z57" s="7">
        <f t="shared" si="35"/>
        <v>-1</v>
      </c>
    </row>
    <row r="58" spans="1:26" s="29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100</v>
      </c>
      <c r="I58" s="1"/>
      <c r="J58" s="5">
        <f t="shared" si="29"/>
        <v>2.1589412552084457E-3</v>
      </c>
      <c r="K58" s="1"/>
      <c r="L58" s="1">
        <f t="shared" si="30"/>
        <v>-100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200</v>
      </c>
      <c r="U58" s="1"/>
      <c r="V58" s="5">
        <f t="shared" si="33"/>
        <v>4.3178825104168914E-3</v>
      </c>
      <c r="W58" s="1"/>
      <c r="X58" s="1">
        <f t="shared" si="34"/>
        <v>-200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100</v>
      </c>
      <c r="I59" s="2"/>
      <c r="J59" s="7">
        <f t="shared" si="29"/>
        <v>2.1589412552084457E-3</v>
      </c>
      <c r="K59" s="2"/>
      <c r="L59" s="6">
        <f t="shared" si="30"/>
        <v>-100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200</v>
      </c>
      <c r="U59" s="2"/>
      <c r="V59" s="7">
        <f t="shared" si="33"/>
        <v>4.3178825104168914E-3</v>
      </c>
      <c r="W59" s="2"/>
      <c r="X59" s="6">
        <f t="shared" si="34"/>
        <v>-200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312.27</v>
      </c>
      <c r="E60" s="1"/>
      <c r="F60" s="5">
        <f t="shared" si="28"/>
        <v>9.8913525498891347E-2</v>
      </c>
      <c r="G60" s="1"/>
      <c r="H60" s="1">
        <f>SUM(OSRRefH22_8x_0)</f>
        <v>400</v>
      </c>
      <c r="I60" s="1"/>
      <c r="J60" s="5">
        <f t="shared" si="29"/>
        <v>8.6357650208337827E-3</v>
      </c>
      <c r="K60" s="1"/>
      <c r="L60" s="1">
        <f t="shared" si="30"/>
        <v>-87.730000000000018</v>
      </c>
      <c r="M60" s="1"/>
      <c r="N60" s="5">
        <f t="shared" si="31"/>
        <v>-0.21932500000000005</v>
      </c>
      <c r="O60" s="14"/>
      <c r="P60" s="1">
        <f>SUM(OSRRefP22_8x_0)</f>
        <v>486.22</v>
      </c>
      <c r="Q60" s="1"/>
      <c r="R60" s="5">
        <f t="shared" si="32"/>
        <v>2.1624270844637205E-2</v>
      </c>
      <c r="S60" s="1"/>
      <c r="T60" s="1">
        <f>SUM(OSRRefT22_8x_0)</f>
        <v>800</v>
      </c>
      <c r="U60" s="1"/>
      <c r="V60" s="5">
        <f t="shared" si="33"/>
        <v>1.7271530041667565E-2</v>
      </c>
      <c r="W60" s="1"/>
      <c r="X60" s="1">
        <f t="shared" si="34"/>
        <v>-313.77999999999997</v>
      </c>
      <c r="Y60" s="1"/>
      <c r="Z60" s="5">
        <f t="shared" si="35"/>
        <v>-0.39222499999999999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312.27</v>
      </c>
      <c r="E61" s="2"/>
      <c r="F61" s="7">
        <f t="shared" si="28"/>
        <v>9.8913525498891347E-2</v>
      </c>
      <c r="G61" s="2"/>
      <c r="H61" s="6">
        <v>400</v>
      </c>
      <c r="I61" s="2"/>
      <c r="J61" s="7">
        <f t="shared" si="29"/>
        <v>8.6357650208337827E-3</v>
      </c>
      <c r="K61" s="2"/>
      <c r="L61" s="6">
        <f t="shared" si="30"/>
        <v>-87.730000000000018</v>
      </c>
      <c r="M61" s="2"/>
      <c r="N61" s="7">
        <f t="shared" si="31"/>
        <v>-0.21932500000000005</v>
      </c>
      <c r="O61" s="11"/>
      <c r="P61" s="6">
        <v>486.22</v>
      </c>
      <c r="Q61" s="2"/>
      <c r="R61" s="7">
        <f t="shared" si="32"/>
        <v>2.1624270844637205E-2</v>
      </c>
      <c r="S61" s="2"/>
      <c r="T61" s="6">
        <v>800</v>
      </c>
      <c r="U61" s="2"/>
      <c r="V61" s="7">
        <f t="shared" si="33"/>
        <v>1.7271530041667565E-2</v>
      </c>
      <c r="W61" s="2"/>
      <c r="X61" s="6">
        <f t="shared" si="34"/>
        <v>-313.77999999999997</v>
      </c>
      <c r="Y61" s="2"/>
      <c r="Z61" s="7">
        <f t="shared" si="35"/>
        <v>-0.39222499999999999</v>
      </c>
    </row>
    <row r="62" spans="1:26" s="29" customFormat="1" outlineLevel="1" collapsed="1" x14ac:dyDescent="0.25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80.650000000000006</v>
      </c>
      <c r="E62" s="1"/>
      <c r="F62" s="5">
        <f t="shared" si="28"/>
        <v>2.5546404814697499E-2</v>
      </c>
      <c r="G62" s="1"/>
      <c r="H62" s="1">
        <f>SUM(OSRRefH22_9x_0)</f>
        <v>150</v>
      </c>
      <c r="I62" s="1"/>
      <c r="J62" s="5">
        <f t="shared" si="29"/>
        <v>3.2384118828126685E-3</v>
      </c>
      <c r="K62" s="1"/>
      <c r="L62" s="1">
        <f t="shared" si="30"/>
        <v>-69.349999999999994</v>
      </c>
      <c r="M62" s="1"/>
      <c r="N62" s="5">
        <f t="shared" si="31"/>
        <v>-0.46233333333333332</v>
      </c>
      <c r="O62" s="14"/>
      <c r="P62" s="1">
        <f>SUM(OSRRefP22_9x_0)</f>
        <v>3500.2</v>
      </c>
      <c r="Q62" s="1"/>
      <c r="R62" s="5">
        <f t="shared" si="32"/>
        <v>0.15566877711817517</v>
      </c>
      <c r="S62" s="1"/>
      <c r="T62" s="1">
        <f>SUM(OSRRefT22_9x_0)</f>
        <v>1650</v>
      </c>
      <c r="U62" s="1"/>
      <c r="V62" s="5">
        <f t="shared" si="33"/>
        <v>3.5622530710939355E-2</v>
      </c>
      <c r="W62" s="1"/>
      <c r="X62" s="1">
        <f t="shared" si="34"/>
        <v>1850.1999999999998</v>
      </c>
      <c r="Y62" s="1"/>
      <c r="Z62" s="5">
        <f t="shared" si="35"/>
        <v>1.1213333333333333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80.650000000000006</v>
      </c>
      <c r="E63" s="2"/>
      <c r="F63" s="7">
        <f t="shared" si="28"/>
        <v>2.5546404814697499E-2</v>
      </c>
      <c r="G63" s="2"/>
      <c r="H63" s="6">
        <v>150</v>
      </c>
      <c r="I63" s="2"/>
      <c r="J63" s="7">
        <f t="shared" si="29"/>
        <v>3.2384118828126685E-3</v>
      </c>
      <c r="K63" s="2"/>
      <c r="L63" s="6">
        <f t="shared" si="30"/>
        <v>-69.349999999999994</v>
      </c>
      <c r="M63" s="2"/>
      <c r="N63" s="7">
        <f t="shared" si="31"/>
        <v>-0.46233333333333332</v>
      </c>
      <c r="O63" s="11"/>
      <c r="P63" s="6">
        <v>3500.2</v>
      </c>
      <c r="Q63" s="2"/>
      <c r="R63" s="7">
        <f t="shared" si="32"/>
        <v>0.15566877711817517</v>
      </c>
      <c r="S63" s="2"/>
      <c r="T63" s="6">
        <v>1650</v>
      </c>
      <c r="U63" s="2"/>
      <c r="V63" s="7">
        <f t="shared" si="33"/>
        <v>3.5622530710939355E-2</v>
      </c>
      <c r="W63" s="2"/>
      <c r="X63" s="6">
        <f t="shared" si="34"/>
        <v>1850.1999999999998</v>
      </c>
      <c r="Y63" s="2"/>
      <c r="Z63" s="7">
        <f t="shared" si="35"/>
        <v>1.1213333333333333</v>
      </c>
    </row>
    <row r="64" spans="1:26" s="29" customFormat="1" outlineLevel="1" collapsed="1" x14ac:dyDescent="0.25">
      <c r="A64" s="28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144</v>
      </c>
      <c r="E64" s="1"/>
      <c r="F64" s="5">
        <f t="shared" si="28"/>
        <v>4.5612923661704149E-2</v>
      </c>
      <c r="G64" s="1"/>
      <c r="H64" s="1">
        <f>SUM(OSRRefH22_10x_0)</f>
        <v>3706</v>
      </c>
      <c r="I64" s="1"/>
      <c r="J64" s="5">
        <f t="shared" si="29"/>
        <v>8.0010362918025005E-2</v>
      </c>
      <c r="K64" s="1"/>
      <c r="L64" s="1">
        <f t="shared" si="30"/>
        <v>-3562</v>
      </c>
      <c r="M64" s="1"/>
      <c r="N64" s="5">
        <f t="shared" si="31"/>
        <v>-0.96114409066378848</v>
      </c>
      <c r="O64" s="14"/>
      <c r="P64" s="1">
        <f>SUM(OSRRefP22_10x_0)</f>
        <v>1295.68</v>
      </c>
      <c r="Q64" s="1"/>
      <c r="R64" s="5">
        <f t="shared" si="32"/>
        <v>5.7624398930483184E-2</v>
      </c>
      <c r="S64" s="1"/>
      <c r="T64" s="1">
        <f>SUM(OSRRefT22_10x_0)</f>
        <v>3706</v>
      </c>
      <c r="U64" s="1"/>
      <c r="V64" s="5">
        <f t="shared" si="33"/>
        <v>8.0010362918025005E-2</v>
      </c>
      <c r="W64" s="1"/>
      <c r="X64" s="1">
        <f t="shared" si="34"/>
        <v>-2410.3199999999997</v>
      </c>
      <c r="Y64" s="1"/>
      <c r="Z64" s="5">
        <f t="shared" si="35"/>
        <v>-0.65038316243928751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144</v>
      </c>
      <c r="E65" s="2"/>
      <c r="F65" s="7">
        <f t="shared" si="28"/>
        <v>4.5612923661704149E-2</v>
      </c>
      <c r="G65" s="2"/>
      <c r="H65" s="6">
        <v>3706</v>
      </c>
      <c r="I65" s="2"/>
      <c r="J65" s="7">
        <f t="shared" si="29"/>
        <v>8.0010362918025005E-2</v>
      </c>
      <c r="K65" s="2"/>
      <c r="L65" s="6">
        <f t="shared" si="30"/>
        <v>-3562</v>
      </c>
      <c r="M65" s="2"/>
      <c r="N65" s="7">
        <f t="shared" si="31"/>
        <v>-0.96114409066378848</v>
      </c>
      <c r="O65" s="11"/>
      <c r="P65" s="6">
        <v>1295.68</v>
      </c>
      <c r="Q65" s="2"/>
      <c r="R65" s="7">
        <f t="shared" si="32"/>
        <v>5.7624398930483184E-2</v>
      </c>
      <c r="S65" s="2"/>
      <c r="T65" s="6">
        <v>3706</v>
      </c>
      <c r="U65" s="2"/>
      <c r="V65" s="7">
        <f t="shared" si="33"/>
        <v>8.0010362918025005E-2</v>
      </c>
      <c r="W65" s="2"/>
      <c r="X65" s="6">
        <f t="shared" si="34"/>
        <v>-2410.3199999999997</v>
      </c>
      <c r="Y65" s="2"/>
      <c r="Z65" s="7">
        <f t="shared" si="35"/>
        <v>-0.65038316243928751</v>
      </c>
    </row>
    <row r="66" spans="1:26" s="29" customFormat="1" outlineLevel="1" collapsed="1" x14ac:dyDescent="0.25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1085.0999999999999</v>
      </c>
      <c r="E66" s="1"/>
      <c r="F66" s="5">
        <f t="shared" si="28"/>
        <v>0.34371238517579977</v>
      </c>
      <c r="G66" s="1"/>
      <c r="H66" s="1">
        <f>SUM(OSRRefH22_11x_0)</f>
        <v>2000</v>
      </c>
      <c r="I66" s="1"/>
      <c r="J66" s="5">
        <f t="shared" si="29"/>
        <v>4.3178825104168914E-2</v>
      </c>
      <c r="K66" s="1"/>
      <c r="L66" s="1">
        <f t="shared" si="30"/>
        <v>-914.90000000000009</v>
      </c>
      <c r="M66" s="1"/>
      <c r="N66" s="5">
        <f t="shared" si="31"/>
        <v>-0.45745000000000002</v>
      </c>
      <c r="O66" s="14"/>
      <c r="P66" s="1">
        <f>SUM(OSRRefP22_11x_0)</f>
        <v>1085.0999999999999</v>
      </c>
      <c r="Q66" s="1"/>
      <c r="R66" s="5">
        <f t="shared" si="32"/>
        <v>4.8259010928213213E-2</v>
      </c>
      <c r="S66" s="1"/>
      <c r="T66" s="1">
        <f>SUM(OSRRefT22_11x_0)</f>
        <v>2200</v>
      </c>
      <c r="U66" s="1"/>
      <c r="V66" s="5">
        <f t="shared" si="33"/>
        <v>4.7496707614585805E-2</v>
      </c>
      <c r="W66" s="1"/>
      <c r="X66" s="1">
        <f t="shared" si="34"/>
        <v>-1114.9000000000001</v>
      </c>
      <c r="Y66" s="1"/>
      <c r="Z66" s="5">
        <f t="shared" si="35"/>
        <v>-0.50677272727272726</v>
      </c>
    </row>
    <row r="67" spans="1:26" s="24" customFormat="1" hidden="1" outlineLevel="2" x14ac:dyDescent="0.25">
      <c r="A67" s="27"/>
      <c r="B67" s="11" t="str">
        <f>CONCATENATE("          ", "6373", " - ", "MAINTENANCE CONTRACTS")</f>
        <v xml:space="preserve">          6373 - MAINTENANCE CONTRACTS</v>
      </c>
      <c r="C67" s="11"/>
      <c r="D67" s="6">
        <v>1085.0999999999999</v>
      </c>
      <c r="E67" s="2"/>
      <c r="F67" s="7">
        <f t="shared" si="28"/>
        <v>0.34371238517579977</v>
      </c>
      <c r="G67" s="2"/>
      <c r="H67" s="6">
        <v>1800</v>
      </c>
      <c r="I67" s="2"/>
      <c r="J67" s="7">
        <f t="shared" si="29"/>
        <v>3.8860942593752022E-2</v>
      </c>
      <c r="K67" s="2"/>
      <c r="L67" s="6">
        <f t="shared" si="30"/>
        <v>-714.90000000000009</v>
      </c>
      <c r="M67" s="2"/>
      <c r="N67" s="7">
        <f t="shared" si="31"/>
        <v>-0.39716666666666672</v>
      </c>
      <c r="O67" s="11"/>
      <c r="P67" s="6">
        <v>1085.0999999999999</v>
      </c>
      <c r="Q67" s="2"/>
      <c r="R67" s="7">
        <f t="shared" si="32"/>
        <v>4.8259010928213213E-2</v>
      </c>
      <c r="S67" s="2"/>
      <c r="T67" s="6">
        <v>1800</v>
      </c>
      <c r="U67" s="2"/>
      <c r="V67" s="7">
        <f t="shared" si="33"/>
        <v>3.8860942593752022E-2</v>
      </c>
      <c r="W67" s="2"/>
      <c r="X67" s="6">
        <f t="shared" si="34"/>
        <v>-714.90000000000009</v>
      </c>
      <c r="Y67" s="2"/>
      <c r="Z67" s="7">
        <f t="shared" si="35"/>
        <v>-0.39716666666666672</v>
      </c>
    </row>
    <row r="68" spans="1:26" s="24" customFormat="1" hidden="1" outlineLevel="2" x14ac:dyDescent="0.25">
      <c r="A68" s="27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8"/>
        <v>0</v>
      </c>
      <c r="G68" s="2"/>
      <c r="H68" s="6">
        <v>200</v>
      </c>
      <c r="I68" s="2"/>
      <c r="J68" s="7">
        <f t="shared" si="29"/>
        <v>4.3178825104168914E-3</v>
      </c>
      <c r="K68" s="2"/>
      <c r="L68" s="6">
        <f t="shared" si="30"/>
        <v>-200</v>
      </c>
      <c r="M68" s="2"/>
      <c r="N68" s="7">
        <f t="shared" si="31"/>
        <v>-1</v>
      </c>
      <c r="O68" s="11"/>
      <c r="P68" s="6"/>
      <c r="Q68" s="2"/>
      <c r="R68" s="7">
        <f t="shared" si="32"/>
        <v>0</v>
      </c>
      <c r="S68" s="2"/>
      <c r="T68" s="6">
        <v>400</v>
      </c>
      <c r="U68" s="2"/>
      <c r="V68" s="7">
        <f t="shared" si="33"/>
        <v>8.6357650208337827E-3</v>
      </c>
      <c r="W68" s="2"/>
      <c r="X68" s="6">
        <f t="shared" si="34"/>
        <v>-400</v>
      </c>
      <c r="Y68" s="2"/>
      <c r="Z68" s="7">
        <f t="shared" si="35"/>
        <v>-1</v>
      </c>
    </row>
    <row r="69" spans="1:26" s="29" customFormat="1" outlineLevel="1" collapsed="1" x14ac:dyDescent="0.25">
      <c r="A69" s="28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6033.7199999999993</v>
      </c>
      <c r="E69" s="1"/>
      <c r="F69" s="5">
        <f t="shared" ref="F69:F73" si="36">IF(D$12=0,0,D69/D$12)</f>
        <v>1.9112195121951217</v>
      </c>
      <c r="G69" s="1"/>
      <c r="H69" s="1">
        <f>SUM(OSRRefH22_12x_0)</f>
        <v>6607</v>
      </c>
      <c r="I69" s="1"/>
      <c r="J69" s="5">
        <f t="shared" ref="J69:J73" si="37">IF(H$12=0,0,H69/H$12)</f>
        <v>0.14264124873162201</v>
      </c>
      <c r="K69" s="1"/>
      <c r="L69" s="1">
        <f t="shared" ref="L69:L73" si="38">+D69-H69</f>
        <v>-573.28000000000065</v>
      </c>
      <c r="M69" s="1"/>
      <c r="N69" s="5">
        <f t="shared" ref="N69:N73" si="39">IF(H69=0,0,L69/H69)</f>
        <v>-8.6768578780081831E-2</v>
      </c>
      <c r="O69" s="14"/>
      <c r="P69" s="1">
        <f>SUM(OSRRefP22_12x_0)</f>
        <v>15941.869999999999</v>
      </c>
      <c r="Q69" s="1"/>
      <c r="R69" s="5">
        <f t="shared" ref="R69:R73" si="40">IF(P$12=0,0,P69/P$12)</f>
        <v>0.70900274495083804</v>
      </c>
      <c r="S69" s="1"/>
      <c r="T69" s="1">
        <f>SUM(OSRRefT22_12x_0)</f>
        <v>13214</v>
      </c>
      <c r="U69" s="1"/>
      <c r="V69" s="5">
        <f t="shared" ref="V69:V73" si="41">IF(T$12=0,0,T69/T$12)</f>
        <v>0.28528249746324402</v>
      </c>
      <c r="W69" s="1"/>
      <c r="X69" s="1">
        <f t="shared" ref="X69:X73" si="42">+P69-T69</f>
        <v>2727.869999999999</v>
      </c>
      <c r="Y69" s="1"/>
      <c r="Z69" s="5">
        <f t="shared" ref="Z69:Z73" si="43">IF(T69=0,0,X69/T69)</f>
        <v>0.20643786892689564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417.32</v>
      </c>
      <c r="E70" s="2"/>
      <c r="F70" s="7">
        <f t="shared" si="36"/>
        <v>0.13218878682293317</v>
      </c>
      <c r="G70" s="2"/>
      <c r="H70" s="6">
        <v>450</v>
      </c>
      <c r="I70" s="2"/>
      <c r="J70" s="7">
        <f t="shared" si="37"/>
        <v>9.7152356484380056E-3</v>
      </c>
      <c r="K70" s="2"/>
      <c r="L70" s="6">
        <f t="shared" si="38"/>
        <v>-32.680000000000007</v>
      </c>
      <c r="M70" s="2"/>
      <c r="N70" s="7">
        <f t="shared" si="39"/>
        <v>-7.2622222222222241E-2</v>
      </c>
      <c r="O70" s="11"/>
      <c r="P70" s="6">
        <v>548.02</v>
      </c>
      <c r="Q70" s="2"/>
      <c r="R70" s="7">
        <f t="shared" si="40"/>
        <v>2.4372779622965076E-2</v>
      </c>
      <c r="S70" s="2"/>
      <c r="T70" s="6">
        <v>900</v>
      </c>
      <c r="U70" s="2"/>
      <c r="V70" s="7">
        <f t="shared" si="41"/>
        <v>1.9430471296876011E-2</v>
      </c>
      <c r="W70" s="2"/>
      <c r="X70" s="6">
        <f t="shared" si="42"/>
        <v>-351.98</v>
      </c>
      <c r="Y70" s="2"/>
      <c r="Z70" s="7">
        <f t="shared" si="43"/>
        <v>-0.39108888888888893</v>
      </c>
    </row>
    <row r="71" spans="1:26" s="24" customFormat="1" hidden="1" outlineLevel="2" x14ac:dyDescent="0.25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6"/>
        <v>0</v>
      </c>
      <c r="G71" s="2"/>
      <c r="H71" s="6">
        <v>500</v>
      </c>
      <c r="I71" s="2"/>
      <c r="J71" s="7">
        <f t="shared" si="37"/>
        <v>1.0794706276042228E-2</v>
      </c>
      <c r="K71" s="2"/>
      <c r="L71" s="6">
        <f t="shared" si="38"/>
        <v>-500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1000</v>
      </c>
      <c r="U71" s="2"/>
      <c r="V71" s="7">
        <f t="shared" si="41"/>
        <v>2.1589412552084457E-2</v>
      </c>
      <c r="W71" s="2"/>
      <c r="X71" s="6">
        <f t="shared" si="42"/>
        <v>-1000</v>
      </c>
      <c r="Y71" s="2"/>
      <c r="Z71" s="7">
        <f t="shared" si="43"/>
        <v>-1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6">
        <v>4157.05</v>
      </c>
      <c r="E72" s="2"/>
      <c r="F72" s="7">
        <f t="shared" si="36"/>
        <v>1.3167722521381058</v>
      </c>
      <c r="G72" s="2"/>
      <c r="H72" s="6">
        <v>4157</v>
      </c>
      <c r="I72" s="2"/>
      <c r="J72" s="7">
        <f t="shared" si="37"/>
        <v>8.9747187979015097E-2</v>
      </c>
      <c r="K72" s="2"/>
      <c r="L72" s="6">
        <f t="shared" si="38"/>
        <v>5.0000000000181899E-2</v>
      </c>
      <c r="M72" s="2"/>
      <c r="N72" s="7">
        <f t="shared" si="39"/>
        <v>1.2027904739038225E-5</v>
      </c>
      <c r="O72" s="11"/>
      <c r="P72" s="6">
        <v>12471.15</v>
      </c>
      <c r="Q72" s="2"/>
      <c r="R72" s="7">
        <f t="shared" si="40"/>
        <v>0.5546450687838782</v>
      </c>
      <c r="S72" s="2"/>
      <c r="T72" s="6">
        <v>8314</v>
      </c>
      <c r="U72" s="2"/>
      <c r="V72" s="7">
        <f t="shared" si="41"/>
        <v>0.17949437595803019</v>
      </c>
      <c r="W72" s="2"/>
      <c r="X72" s="6">
        <f t="shared" si="42"/>
        <v>4157.1499999999996</v>
      </c>
      <c r="Y72" s="2"/>
      <c r="Z72" s="7">
        <f t="shared" si="43"/>
        <v>0.50001804185710841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6">
        <v>1459.35</v>
      </c>
      <c r="E73" s="2"/>
      <c r="F73" s="7">
        <f t="shared" si="36"/>
        <v>0.46225847323408298</v>
      </c>
      <c r="G73" s="2"/>
      <c r="H73" s="6">
        <v>1500</v>
      </c>
      <c r="I73" s="2"/>
      <c r="J73" s="7">
        <f t="shared" si="37"/>
        <v>3.2384118828126689E-2</v>
      </c>
      <c r="K73" s="2"/>
      <c r="L73" s="6">
        <f t="shared" si="38"/>
        <v>-40.650000000000091</v>
      </c>
      <c r="M73" s="2"/>
      <c r="N73" s="7">
        <f t="shared" si="39"/>
        <v>-2.7100000000000062E-2</v>
      </c>
      <c r="O73" s="11"/>
      <c r="P73" s="6">
        <v>2922.7</v>
      </c>
      <c r="Q73" s="2"/>
      <c r="R73" s="7">
        <f t="shared" si="40"/>
        <v>0.12998489654399481</v>
      </c>
      <c r="S73" s="2"/>
      <c r="T73" s="6">
        <v>3000</v>
      </c>
      <c r="U73" s="2"/>
      <c r="V73" s="7">
        <f t="shared" si="41"/>
        <v>6.4768237656253377E-2</v>
      </c>
      <c r="W73" s="2"/>
      <c r="X73" s="6">
        <f t="shared" si="42"/>
        <v>-77.300000000000182</v>
      </c>
      <c r="Y73" s="2"/>
      <c r="Z73" s="7">
        <f t="shared" si="43"/>
        <v>-2.5766666666666726E-2</v>
      </c>
    </row>
    <row r="74" spans="1:26" s="29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4428.42</v>
      </c>
      <c r="E74" s="1"/>
      <c r="F74" s="5">
        <f t="shared" ref="F74:F82" si="44">IF(D$12=0,0,D74/D$12)</f>
        <v>1.402730440291416</v>
      </c>
      <c r="G74" s="1"/>
      <c r="H74" s="1">
        <f>SUM(OSRRefH22_13x_0)</f>
        <v>11750</v>
      </c>
      <c r="I74" s="1"/>
      <c r="J74" s="5">
        <f t="shared" ref="J74:J82" si="45">IF(H$12=0,0,H74/H$12)</f>
        <v>0.25367559748699237</v>
      </c>
      <c r="K74" s="1"/>
      <c r="L74" s="1">
        <f t="shared" ref="L74:L82" si="46">+D74-H74</f>
        <v>-7321.58</v>
      </c>
      <c r="M74" s="1"/>
      <c r="N74" s="5">
        <f t="shared" ref="N74:N82" si="47">IF(H74=0,0,L74/H74)</f>
        <v>-0.62311319148936173</v>
      </c>
      <c r="O74" s="14"/>
      <c r="P74" s="1">
        <f>SUM(OSRRefP22_13x_0)</f>
        <v>6357.74</v>
      </c>
      <c r="Q74" s="1"/>
      <c r="R74" s="5">
        <f t="shared" ref="R74:R82" si="48">IF(P$12=0,0,P74/P$12)</f>
        <v>0.28275573139686505</v>
      </c>
      <c r="S74" s="1"/>
      <c r="T74" s="1">
        <f>SUM(OSRRefT22_13x_0)</f>
        <v>26500</v>
      </c>
      <c r="U74" s="1"/>
      <c r="V74" s="5">
        <f t="shared" ref="V74:V82" si="49">IF(T$12=0,0,T74/T$12)</f>
        <v>0.57211943263023812</v>
      </c>
      <c r="W74" s="1"/>
      <c r="X74" s="1">
        <f t="shared" ref="X74:X82" si="50">+P74-T74</f>
        <v>-20142.260000000002</v>
      </c>
      <c r="Y74" s="1"/>
      <c r="Z74" s="5">
        <f t="shared" ref="Z74:Z82" si="51">IF(T74=0,0,X74/T74)</f>
        <v>-0.76008528301886802</v>
      </c>
    </row>
    <row r="75" spans="1:26" s="24" customFormat="1" hidden="1" outlineLevel="2" x14ac:dyDescent="0.25">
      <c r="A75" s="27"/>
      <c r="B75" s="11" t="str">
        <f>CONCATENATE("          ", "6235", " - ", "COVID-19 EXPENSES")</f>
        <v xml:space="preserve">          6235 - COVID-19 EXPENSES</v>
      </c>
      <c r="C75" s="11"/>
      <c r="D75" s="6">
        <v>1082.46</v>
      </c>
      <c r="E75" s="2"/>
      <c r="F75" s="7">
        <f t="shared" si="44"/>
        <v>0.34287614824200191</v>
      </c>
      <c r="G75" s="2"/>
      <c r="H75" s="6">
        <v>5000</v>
      </c>
      <c r="I75" s="2"/>
      <c r="J75" s="7">
        <f t="shared" si="45"/>
        <v>0.10794706276042229</v>
      </c>
      <c r="K75" s="2"/>
      <c r="L75" s="6">
        <f t="shared" si="46"/>
        <v>-3917.54</v>
      </c>
      <c r="M75" s="2"/>
      <c r="N75" s="7">
        <f t="shared" si="47"/>
        <v>-0.78350799999999998</v>
      </c>
      <c r="O75" s="11"/>
      <c r="P75" s="6">
        <v>1109.3800000000001</v>
      </c>
      <c r="Q75" s="2"/>
      <c r="R75" s="7">
        <f t="shared" si="48"/>
        <v>4.9338845768630707E-2</v>
      </c>
      <c r="S75" s="2"/>
      <c r="T75" s="6">
        <v>10000</v>
      </c>
      <c r="U75" s="2"/>
      <c r="V75" s="7">
        <f t="shared" si="49"/>
        <v>0.21589412552084458</v>
      </c>
      <c r="W75" s="2"/>
      <c r="X75" s="6">
        <f t="shared" si="50"/>
        <v>-8890.619999999999</v>
      </c>
      <c r="Y75" s="2"/>
      <c r="Z75" s="7">
        <f t="shared" si="51"/>
        <v>-0.88906199999999991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/>
      <c r="E76" s="2"/>
      <c r="F76" s="7">
        <f t="shared" si="44"/>
        <v>0</v>
      </c>
      <c r="G76" s="2"/>
      <c r="H76" s="6">
        <v>4000</v>
      </c>
      <c r="I76" s="2"/>
      <c r="J76" s="7">
        <f t="shared" si="45"/>
        <v>8.6357650208337827E-2</v>
      </c>
      <c r="K76" s="2"/>
      <c r="L76" s="6">
        <f t="shared" si="46"/>
        <v>-4000</v>
      </c>
      <c r="M76" s="2"/>
      <c r="N76" s="7">
        <f t="shared" si="47"/>
        <v>-1</v>
      </c>
      <c r="O76" s="11"/>
      <c r="P76" s="6">
        <v>1188.04</v>
      </c>
      <c r="Q76" s="2"/>
      <c r="R76" s="7">
        <f t="shared" si="48"/>
        <v>5.2837190436968412E-2</v>
      </c>
      <c r="S76" s="2"/>
      <c r="T76" s="6">
        <v>8000</v>
      </c>
      <c r="U76" s="2"/>
      <c r="V76" s="7">
        <f t="shared" si="49"/>
        <v>0.17271530041667565</v>
      </c>
      <c r="W76" s="2"/>
      <c r="X76" s="6">
        <f t="shared" si="50"/>
        <v>-6811.96</v>
      </c>
      <c r="Y76" s="2"/>
      <c r="Z76" s="7">
        <f t="shared" si="51"/>
        <v>-0.851495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981.07</v>
      </c>
      <c r="E77" s="2"/>
      <c r="F77" s="7">
        <f t="shared" si="44"/>
        <v>0.31076021539436177</v>
      </c>
      <c r="G77" s="2"/>
      <c r="H77" s="6">
        <v>1500</v>
      </c>
      <c r="I77" s="2"/>
      <c r="J77" s="7">
        <f t="shared" si="45"/>
        <v>3.2384118828126689E-2</v>
      </c>
      <c r="K77" s="2"/>
      <c r="L77" s="6">
        <f t="shared" si="46"/>
        <v>-518.92999999999995</v>
      </c>
      <c r="M77" s="2"/>
      <c r="N77" s="7">
        <f t="shared" si="47"/>
        <v>-0.34595333333333328</v>
      </c>
      <c r="O77" s="11"/>
      <c r="P77" s="6">
        <v>1031.07</v>
      </c>
      <c r="Q77" s="2"/>
      <c r="R77" s="7">
        <f t="shared" si="48"/>
        <v>4.5856067088519768E-2</v>
      </c>
      <c r="S77" s="2"/>
      <c r="T77" s="6">
        <v>3000</v>
      </c>
      <c r="U77" s="2"/>
      <c r="V77" s="7">
        <f t="shared" si="49"/>
        <v>6.4768237656253377E-2</v>
      </c>
      <c r="W77" s="2"/>
      <c r="X77" s="6">
        <f t="shared" si="50"/>
        <v>-1968.93</v>
      </c>
      <c r="Y77" s="2"/>
      <c r="Z77" s="7">
        <f t="shared" si="51"/>
        <v>-0.65631000000000006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3.22</v>
      </c>
      <c r="E78" s="2"/>
      <c r="F78" s="7">
        <f t="shared" si="44"/>
        <v>1.0199556541019956E-3</v>
      </c>
      <c r="G78" s="2"/>
      <c r="H78" s="6">
        <v>500</v>
      </c>
      <c r="I78" s="2"/>
      <c r="J78" s="7">
        <f t="shared" si="45"/>
        <v>1.0794706276042228E-2</v>
      </c>
      <c r="K78" s="2"/>
      <c r="L78" s="6">
        <f t="shared" si="46"/>
        <v>-496.78</v>
      </c>
      <c r="M78" s="2"/>
      <c r="N78" s="7">
        <f t="shared" si="47"/>
        <v>-0.99356</v>
      </c>
      <c r="O78" s="11"/>
      <c r="P78" s="6">
        <v>19.7</v>
      </c>
      <c r="Q78" s="2"/>
      <c r="R78" s="7">
        <f t="shared" si="48"/>
        <v>8.7614276590710564E-4</v>
      </c>
      <c r="S78" s="2"/>
      <c r="T78" s="6">
        <v>1000</v>
      </c>
      <c r="U78" s="2"/>
      <c r="V78" s="7">
        <f t="shared" si="49"/>
        <v>2.1589412552084457E-2</v>
      </c>
      <c r="W78" s="2"/>
      <c r="X78" s="6">
        <f t="shared" si="50"/>
        <v>-980.3</v>
      </c>
      <c r="Y78" s="2"/>
      <c r="Z78" s="7">
        <f t="shared" si="51"/>
        <v>-0.98029999999999995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2361.67</v>
      </c>
      <c r="E79" s="2"/>
      <c r="F79" s="7">
        <f t="shared" si="44"/>
        <v>0.74807412100095028</v>
      </c>
      <c r="G79" s="2"/>
      <c r="H79" s="6">
        <v>500</v>
      </c>
      <c r="I79" s="2"/>
      <c r="J79" s="7">
        <f t="shared" si="45"/>
        <v>1.0794706276042228E-2</v>
      </c>
      <c r="K79" s="2"/>
      <c r="L79" s="6">
        <f t="shared" si="46"/>
        <v>1861.67</v>
      </c>
      <c r="M79" s="2"/>
      <c r="N79" s="7">
        <f t="shared" si="47"/>
        <v>3.7233400000000003</v>
      </c>
      <c r="O79" s="11"/>
      <c r="P79" s="6">
        <v>3009.55</v>
      </c>
      <c r="Q79" s="2"/>
      <c r="R79" s="7">
        <f t="shared" si="48"/>
        <v>0.1338474853368391</v>
      </c>
      <c r="S79" s="2"/>
      <c r="T79" s="6">
        <v>1000</v>
      </c>
      <c r="U79" s="2"/>
      <c r="V79" s="7">
        <f t="shared" si="49"/>
        <v>2.1589412552084457E-2</v>
      </c>
      <c r="W79" s="2"/>
      <c r="X79" s="6">
        <f t="shared" si="50"/>
        <v>2009.5500000000002</v>
      </c>
      <c r="Y79" s="2"/>
      <c r="Z79" s="7">
        <f t="shared" si="51"/>
        <v>2.0095500000000004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>
        <v>100</v>
      </c>
      <c r="I80" s="2"/>
      <c r="J80" s="7">
        <f t="shared" si="45"/>
        <v>2.1589412552084457E-3</v>
      </c>
      <c r="K80" s="2"/>
      <c r="L80" s="6">
        <f t="shared" si="46"/>
        <v>-100</v>
      </c>
      <c r="M80" s="2"/>
      <c r="N80" s="7">
        <f t="shared" si="47"/>
        <v>-1</v>
      </c>
      <c r="O80" s="11"/>
      <c r="P80" s="6"/>
      <c r="Q80" s="2"/>
      <c r="R80" s="7">
        <f t="shared" si="48"/>
        <v>0</v>
      </c>
      <c r="S80" s="2"/>
      <c r="T80" s="6">
        <v>200</v>
      </c>
      <c r="U80" s="2"/>
      <c r="V80" s="7">
        <f t="shared" si="49"/>
        <v>4.3178825104168914E-3</v>
      </c>
      <c r="W80" s="2"/>
      <c r="X80" s="6">
        <f t="shared" si="50"/>
        <v>-200</v>
      </c>
      <c r="Y80" s="2"/>
      <c r="Z80" s="7">
        <f t="shared" si="51"/>
        <v>-1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>
        <v>150</v>
      </c>
      <c r="I81" s="2"/>
      <c r="J81" s="7">
        <f t="shared" si="45"/>
        <v>3.2384118828126685E-3</v>
      </c>
      <c r="K81" s="2"/>
      <c r="L81" s="6">
        <f t="shared" si="46"/>
        <v>-150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300</v>
      </c>
      <c r="U81" s="2"/>
      <c r="V81" s="7">
        <f t="shared" si="49"/>
        <v>6.476823765625337E-3</v>
      </c>
      <c r="W81" s="2"/>
      <c r="X81" s="6">
        <f t="shared" si="50"/>
        <v>-300</v>
      </c>
      <c r="Y81" s="2"/>
      <c r="Z81" s="7">
        <f t="shared" si="51"/>
        <v>-1</v>
      </c>
    </row>
    <row r="82" spans="1:26" s="24" customFormat="1" hidden="1" outlineLevel="2" x14ac:dyDescent="0.25">
      <c r="A82" s="27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/>
      <c r="Q82" s="2"/>
      <c r="R82" s="7">
        <f t="shared" si="48"/>
        <v>0</v>
      </c>
      <c r="S82" s="2"/>
      <c r="T82" s="6">
        <v>3000</v>
      </c>
      <c r="U82" s="2"/>
      <c r="V82" s="7">
        <f t="shared" si="49"/>
        <v>6.4768237656253377E-2</v>
      </c>
      <c r="W82" s="2"/>
      <c r="X82" s="6">
        <f t="shared" si="50"/>
        <v>-3000</v>
      </c>
      <c r="Y82" s="2"/>
      <c r="Z82" s="7">
        <f t="shared" si="51"/>
        <v>-1</v>
      </c>
    </row>
    <row r="83" spans="1:26" s="29" customFormat="1" outlineLevel="1" collapsed="1" x14ac:dyDescent="0.25">
      <c r="A83" s="28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139</v>
      </c>
      <c r="E83" s="1"/>
      <c r="F83" s="5">
        <f t="shared" ref="F83:F84" si="52">IF(D$12=0,0,D83/D$12)</f>
        <v>4.4029141590117199E-2</v>
      </c>
      <c r="G83" s="1"/>
      <c r="H83" s="1">
        <f>SUM(OSRRefH22_14x_0)</f>
        <v>175</v>
      </c>
      <c r="I83" s="1"/>
      <c r="J83" s="5">
        <f t="shared" ref="J83:J84" si="53">IF(H$12=0,0,H83/H$12)</f>
        <v>3.7781471966147799E-3</v>
      </c>
      <c r="K83" s="1"/>
      <c r="L83" s="1">
        <f t="shared" ref="L83:L84" si="54">+D83-H83</f>
        <v>-36</v>
      </c>
      <c r="M83" s="1"/>
      <c r="N83" s="5">
        <f t="shared" ref="N83:N84" si="55">IF(H83=0,0,L83/H83)</f>
        <v>-0.20571428571428571</v>
      </c>
      <c r="O83" s="14"/>
      <c r="P83" s="1">
        <f>SUM(OSRRefP22_14x_0)</f>
        <v>278</v>
      </c>
      <c r="Q83" s="1"/>
      <c r="R83" s="5">
        <f t="shared" ref="R83:R84" si="56">IF(P$12=0,0,P83/P$12)</f>
        <v>1.2363842077267786E-2</v>
      </c>
      <c r="S83" s="1"/>
      <c r="T83" s="1">
        <f>SUM(OSRRefT22_14x_0)</f>
        <v>350</v>
      </c>
      <c r="U83" s="1"/>
      <c r="V83" s="5">
        <f t="shared" ref="V83:V84" si="57">IF(T$12=0,0,T83/T$12)</f>
        <v>7.5562943932295599E-3</v>
      </c>
      <c r="W83" s="1"/>
      <c r="X83" s="1">
        <f t="shared" ref="X83:X84" si="58">+P83-T83</f>
        <v>-72</v>
      </c>
      <c r="Y83" s="1"/>
      <c r="Z83" s="5">
        <f t="shared" ref="Z83:Z84" si="59">IF(T83=0,0,X83/T83)</f>
        <v>-0.20571428571428571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139</v>
      </c>
      <c r="E84" s="2"/>
      <c r="F84" s="7">
        <f t="shared" si="52"/>
        <v>4.4029141590117199E-2</v>
      </c>
      <c r="G84" s="2"/>
      <c r="H84" s="6">
        <v>175</v>
      </c>
      <c r="I84" s="2"/>
      <c r="J84" s="7">
        <f t="shared" si="53"/>
        <v>3.7781471966147799E-3</v>
      </c>
      <c r="K84" s="2"/>
      <c r="L84" s="6">
        <f t="shared" si="54"/>
        <v>-36</v>
      </c>
      <c r="M84" s="2"/>
      <c r="N84" s="7">
        <f t="shared" si="55"/>
        <v>-0.20571428571428571</v>
      </c>
      <c r="O84" s="11"/>
      <c r="P84" s="6">
        <v>278</v>
      </c>
      <c r="Q84" s="2"/>
      <c r="R84" s="7">
        <f t="shared" si="56"/>
        <v>1.2363842077267786E-2</v>
      </c>
      <c r="S84" s="2"/>
      <c r="T84" s="6">
        <v>350</v>
      </c>
      <c r="U84" s="2"/>
      <c r="V84" s="7">
        <f t="shared" si="57"/>
        <v>7.5562943932295599E-3</v>
      </c>
      <c r="W84" s="2"/>
      <c r="X84" s="6">
        <f t="shared" si="58"/>
        <v>-72</v>
      </c>
      <c r="Y84" s="2"/>
      <c r="Z84" s="7">
        <f t="shared" si="59"/>
        <v>-0.20571428571428571</v>
      </c>
    </row>
    <row r="85" spans="1:26" s="61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2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2" customFormat="1" x14ac:dyDescent="0.25">
      <c r="A88" s="10"/>
      <c r="B88" s="26" t="s">
        <v>3</v>
      </c>
      <c r="C88" s="26"/>
      <c r="D88" s="21">
        <f>+D23-D25+D86</f>
        <v>-64332.539999999994</v>
      </c>
      <c r="E88" s="13"/>
      <c r="F88" s="20">
        <f>IF(D$12=0,0,D88/D$12)</f>
        <v>-20.377744694330058</v>
      </c>
      <c r="G88" s="13"/>
      <c r="H88" s="21">
        <f>+H23-H25+H86</f>
        <v>-66705.849450769223</v>
      </c>
      <c r="I88" s="13"/>
      <c r="J88" s="20">
        <f>IF(H$12=0,0,H88/H$12)</f>
        <v>-1.4401401034298933</v>
      </c>
      <c r="K88" s="16"/>
      <c r="L88" s="21">
        <f>+D88-H88</f>
        <v>2373.3094507692294</v>
      </c>
      <c r="M88" s="16"/>
      <c r="N88" s="20">
        <f>IF(H88=0,0,L88/H88)</f>
        <v>-3.5578730655709559E-2</v>
      </c>
      <c r="O88" s="25"/>
      <c r="P88" s="21">
        <f>+P23-P25+P86</f>
        <v>-116153.76999999997</v>
      </c>
      <c r="Q88" s="13"/>
      <c r="R88" s="20">
        <f>IF(P$12=0,0,P88/P$12)</f>
        <v>-5.1658520466161306</v>
      </c>
      <c r="S88" s="13"/>
      <c r="T88" s="21">
        <f>+T23-T25+T86</f>
        <v>-165713.04526423075</v>
      </c>
      <c r="U88" s="13"/>
      <c r="V88" s="20">
        <f>IF(T$12=0,0,T88/T$12)</f>
        <v>-3.5776472994717232</v>
      </c>
      <c r="W88" s="16"/>
      <c r="X88" s="21">
        <f>+P88-T88</f>
        <v>49559.275264230775</v>
      </c>
      <c r="Y88" s="16"/>
      <c r="Z88" s="20">
        <f>IF(T88=0,0,X88/T88)</f>
        <v>-0.29906683076886387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2" customFormat="1" x14ac:dyDescent="0.25">
      <c r="A90" s="52"/>
      <c r="B90" s="10" t="s">
        <v>14</v>
      </c>
      <c r="C90" s="10"/>
      <c r="D90" s="4">
        <v>-5499.42</v>
      </c>
      <c r="E90" s="4"/>
      <c r="F90" s="12">
        <f>IF(D$12=0,0,D90/D$12)</f>
        <v>-1.7419765600253405</v>
      </c>
      <c r="G90" s="4"/>
      <c r="H90" s="4">
        <v>7564</v>
      </c>
      <c r="I90" s="4"/>
      <c r="J90" s="12">
        <f>IF(H$12=0,0,H90/H$12)</f>
        <v>0.16330231654396685</v>
      </c>
      <c r="K90" s="4"/>
      <c r="L90" s="4">
        <f>+D90-H90</f>
        <v>-13063.42</v>
      </c>
      <c r="M90" s="4"/>
      <c r="N90" s="12">
        <f>IF(H90=0,0,L90/H90)</f>
        <v>-1.7270518244315178</v>
      </c>
      <c r="O90" s="10"/>
      <c r="P90" s="4">
        <v>3796.28</v>
      </c>
      <c r="Q90" s="4"/>
      <c r="R90" s="12">
        <f>IF(P$12=0,0,P90/P$12)</f>
        <v>0.16883671367298617</v>
      </c>
      <c r="S90" s="4"/>
      <c r="T90" s="4">
        <v>7564</v>
      </c>
      <c r="U90" s="4"/>
      <c r="V90" s="12">
        <f>IF(T$12=0,0,T90/T$12)</f>
        <v>0.16330231654396685</v>
      </c>
      <c r="W90" s="4"/>
      <c r="X90" s="4">
        <f>+P90-T90</f>
        <v>-3767.72</v>
      </c>
      <c r="Y90" s="4"/>
      <c r="Z90" s="12">
        <f>IF(T90=0,0,X90/T90)</f>
        <v>-0.49811210999471178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2" customFormat="1" ht="15.75" thickBot="1" x14ac:dyDescent="0.3">
      <c r="A92" s="10"/>
      <c r="B92" s="26" t="s">
        <v>4</v>
      </c>
      <c r="C92" s="26"/>
      <c r="D92" s="33">
        <f>+D88-D90</f>
        <v>-58833.119999999995</v>
      </c>
      <c r="E92" s="13"/>
      <c r="F92" s="31">
        <f>IF(D$12=0,0,D92/D$12)</f>
        <v>-18.635768134304719</v>
      </c>
      <c r="G92" s="13"/>
      <c r="H92" s="33">
        <f>+H88-H90</f>
        <v>-74269.849450769223</v>
      </c>
      <c r="I92" s="13"/>
      <c r="J92" s="31">
        <f>IF(H$12=0,0,H92/H$12)</f>
        <v>-1.6034424199738599</v>
      </c>
      <c r="K92" s="16"/>
      <c r="L92" s="33">
        <f>D92-H92</f>
        <v>15436.729450769228</v>
      </c>
      <c r="M92" s="16"/>
      <c r="N92" s="31">
        <f>IF(H92=0,0,L92/H92)</f>
        <v>-0.20784651598091192</v>
      </c>
      <c r="O92" s="25"/>
      <c r="P92" s="33">
        <f>+P88-P90</f>
        <v>-119950.04999999997</v>
      </c>
      <c r="Q92" s="13"/>
      <c r="R92" s="31">
        <f>IF(P$12=0,0,P92/P$12)</f>
        <v>-5.3346887602891169</v>
      </c>
      <c r="S92" s="13"/>
      <c r="T92" s="33">
        <f>+T88-T90</f>
        <v>-173277.04526423075</v>
      </c>
      <c r="U92" s="13"/>
      <c r="V92" s="31">
        <f>IF(T$12=0,0,T92/T$12)</f>
        <v>-3.7409496160156901</v>
      </c>
      <c r="W92" s="16"/>
      <c r="X92" s="33">
        <f>P92-T92</f>
        <v>53326.995264230776</v>
      </c>
      <c r="Y92" s="16"/>
      <c r="Z92" s="31">
        <f>IF(T92=0,0,X92/T92)</f>
        <v>-0.30775568213846366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2" customFormat="1" ht="15.75" thickBot="1" x14ac:dyDescent="0.3">
      <c r="A95" s="10"/>
      <c r="B95" s="26" t="s">
        <v>5</v>
      </c>
      <c r="C95" s="26"/>
      <c r="D95" s="32">
        <f>SUM(D92:D94)</f>
        <v>-58833.119999999995</v>
      </c>
      <c r="E95" s="13"/>
      <c r="F95" s="35">
        <f>IF(D$12=0,0,D95/D$12)</f>
        <v>-18.635768134304719</v>
      </c>
      <c r="G95" s="13"/>
      <c r="H95" s="32">
        <f>SUM(H92:H94)</f>
        <v>-74269.849450769223</v>
      </c>
      <c r="I95" s="13"/>
      <c r="J95" s="35">
        <f>IF(H$12=0,0,H95/H$12)</f>
        <v>-1.6034424199738599</v>
      </c>
      <c r="K95" s="16"/>
      <c r="L95" s="32">
        <f>+D95-H95</f>
        <v>15436.729450769228</v>
      </c>
      <c r="M95" s="16"/>
      <c r="N95" s="35">
        <f>IF(H95=0,0,L95/H95)</f>
        <v>-0.20784651598091192</v>
      </c>
      <c r="O95" s="25"/>
      <c r="P95" s="32">
        <f>SUM(P92:P94)</f>
        <v>-119950.04999999997</v>
      </c>
      <c r="Q95" s="13"/>
      <c r="R95" s="35">
        <f>IF(P$12=0,0,P95/P$12)</f>
        <v>-5.3346887602891169</v>
      </c>
      <c r="S95" s="13"/>
      <c r="T95" s="32">
        <f>SUM(T92:T94)</f>
        <v>-173277.04526423075</v>
      </c>
      <c r="U95" s="13"/>
      <c r="V95" s="35">
        <f>IF(T$12=0,0,T95/T$12)</f>
        <v>-3.7409496160156901</v>
      </c>
      <c r="W95" s="16"/>
      <c r="X95" s="32">
        <f>+P95-T95</f>
        <v>53326.995264230776</v>
      </c>
      <c r="Y95" s="16"/>
      <c r="Z95" s="35">
        <f>IF(T95=0,0,X95/T95)</f>
        <v>-0.30775568213846366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9">
        <v>44113.690015127315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62" t="s">
        <v>314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63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300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R21" sqref="R19:R2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","435", " - ", "Ground Floor Coffee House")</f>
        <v>Department 435 - Ground Floor Coffee House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2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2" customFormat="1" x14ac:dyDescent="0.25">
      <c r="A16" s="10"/>
      <c r="B16" s="26" t="s">
        <v>6</v>
      </c>
      <c r="C16" s="26"/>
      <c r="D16" s="21">
        <f>D12-D14</f>
        <v>0</v>
      </c>
      <c r="E16" s="13"/>
      <c r="F16" s="20">
        <f>IF(D$12=0,0,D16/D$12)</f>
        <v>0</v>
      </c>
      <c r="G16" s="13"/>
      <c r="H16" s="21">
        <f>H12-H14</f>
        <v>0</v>
      </c>
      <c r="I16" s="13"/>
      <c r="J16" s="20">
        <f>IF(H$12=0,0,H16/H$12)</f>
        <v>0</v>
      </c>
      <c r="K16" s="16"/>
      <c r="L16" s="21">
        <f>+D16-H16</f>
        <v>0</v>
      </c>
      <c r="M16" s="16"/>
      <c r="N16" s="20">
        <f>IF(H16=0,0,L16/H16)</f>
        <v>0</v>
      </c>
      <c r="O16" s="25"/>
      <c r="P16" s="21">
        <f>P12-P14</f>
        <v>0</v>
      </c>
      <c r="Q16" s="13"/>
      <c r="R16" s="20">
        <f>IF(P$12=0,0,P16/P$12)</f>
        <v>0</v>
      </c>
      <c r="S16" s="13"/>
      <c r="T16" s="21">
        <f>T12-T14</f>
        <v>0</v>
      </c>
      <c r="U16" s="13"/>
      <c r="V16" s="20">
        <f>IF(T$12=0,0,T16/T$12)</f>
        <v>0</v>
      </c>
      <c r="W16" s="16"/>
      <c r="X16" s="21">
        <f>+P16-T16</f>
        <v>0</v>
      </c>
      <c r="Y16" s="16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2" customFormat="1" x14ac:dyDescent="0.25">
      <c r="A18" s="10"/>
      <c r="B18" s="25" t="s">
        <v>9</v>
      </c>
      <c r="C18" s="10"/>
      <c r="D18" s="19">
        <f>SUM(OSRRefD22x_0)</f>
        <v>75.5</v>
      </c>
      <c r="E18" s="19"/>
      <c r="F18" s="30">
        <f t="shared" ref="F18:F20" si="0">IF(D$12=0,0,D18/D$12)</f>
        <v>0</v>
      </c>
      <c r="G18" s="19"/>
      <c r="H18" s="19">
        <f>SUM(OSRRefH22x_0)</f>
        <v>0</v>
      </c>
      <c r="I18" s="19"/>
      <c r="J18" s="30">
        <f t="shared" ref="J18:J20" si="1">IF(H$12=0,0,H18/H$12)</f>
        <v>0</v>
      </c>
      <c r="K18" s="4"/>
      <c r="L18" s="19">
        <f t="shared" ref="L18:L20" si="2">+D18-H18</f>
        <v>75.5</v>
      </c>
      <c r="M18" s="4"/>
      <c r="N18" s="30">
        <f t="shared" ref="N18:N20" si="3">IF(H18=0,0,L18/H18)</f>
        <v>0</v>
      </c>
      <c r="O18" s="10"/>
      <c r="P18" s="19">
        <f>SUM(OSRRefP22x_0)</f>
        <v>151</v>
      </c>
      <c r="Q18" s="19"/>
      <c r="R18" s="30">
        <f t="shared" ref="R18:R20" si="4">IF(P$12=0,0,P18/P$12)</f>
        <v>0</v>
      </c>
      <c r="S18" s="19"/>
      <c r="T18" s="19">
        <f>SUM(OSRRefT22x_0)</f>
        <v>0</v>
      </c>
      <c r="U18" s="19"/>
      <c r="V18" s="30">
        <f t="shared" ref="V18:V20" si="5">IF(T$12=0,0,T18/T$12)</f>
        <v>0</v>
      </c>
      <c r="W18" s="4"/>
      <c r="X18" s="19">
        <f t="shared" ref="X18:X20" si="6">+P18-T18</f>
        <v>151</v>
      </c>
      <c r="Y18" s="4"/>
      <c r="Z18" s="30">
        <f t="shared" ref="Z18:Z20" si="7">IF(T18=0,0,X18/T18)</f>
        <v>0</v>
      </c>
    </row>
    <row r="19" spans="1:26" s="29" customFormat="1" outlineLevel="1" collapsed="1" x14ac:dyDescent="0.25">
      <c r="A19" s="28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75.5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75.5</v>
      </c>
      <c r="M19" s="1"/>
      <c r="N19" s="5">
        <f t="shared" si="3"/>
        <v>0</v>
      </c>
      <c r="O19" s="14"/>
      <c r="P19" s="1">
        <f>SUM(OSRRefP22_0x_0)</f>
        <v>151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151</v>
      </c>
      <c r="Y19" s="1"/>
      <c r="Z19" s="5">
        <f t="shared" si="7"/>
        <v>0</v>
      </c>
    </row>
    <row r="20" spans="1:26" s="24" customFormat="1" hidden="1" outlineLevel="2" x14ac:dyDescent="0.25">
      <c r="A20" s="27"/>
      <c r="B20" s="11" t="str">
        <f>CONCATENATE("          ", "6309", " - ", "TELEPHONE")</f>
        <v xml:space="preserve">          6309 - TELEPHONE</v>
      </c>
      <c r="C20" s="11"/>
      <c r="D20" s="6">
        <v>75.5</v>
      </c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75.5</v>
      </c>
      <c r="M20" s="2"/>
      <c r="N20" s="7">
        <f t="shared" si="3"/>
        <v>0</v>
      </c>
      <c r="O20" s="11"/>
      <c r="P20" s="6">
        <v>151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151</v>
      </c>
      <c r="Y20" s="2"/>
      <c r="Z20" s="7">
        <f t="shared" si="7"/>
        <v>0</v>
      </c>
    </row>
    <row r="21" spans="1:26" s="61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2" customFormat="1" x14ac:dyDescent="0.2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2" customFormat="1" x14ac:dyDescent="0.25">
      <c r="A24" s="10"/>
      <c r="B24" s="26" t="s">
        <v>3</v>
      </c>
      <c r="C24" s="26"/>
      <c r="D24" s="21">
        <f>+D16-D18+D22</f>
        <v>-75.5</v>
      </c>
      <c r="E24" s="13"/>
      <c r="F24" s="20">
        <f>IF(D$12=0,0,D24/D$12)</f>
        <v>0</v>
      </c>
      <c r="G24" s="13"/>
      <c r="H24" s="21">
        <f>+H16-H18+H22</f>
        <v>0</v>
      </c>
      <c r="I24" s="13"/>
      <c r="J24" s="20">
        <f>IF(H$12=0,0,H24/H$12)</f>
        <v>0</v>
      </c>
      <c r="K24" s="16"/>
      <c r="L24" s="21">
        <f>+D24-H24</f>
        <v>-75.5</v>
      </c>
      <c r="M24" s="16"/>
      <c r="N24" s="20">
        <f>IF(H24=0,0,L24/H24)</f>
        <v>0</v>
      </c>
      <c r="O24" s="25"/>
      <c r="P24" s="21">
        <f>+P16-P18+P22</f>
        <v>-151</v>
      </c>
      <c r="Q24" s="13"/>
      <c r="R24" s="20">
        <f>IF(P$12=0,0,P24/P$12)</f>
        <v>0</v>
      </c>
      <c r="S24" s="13"/>
      <c r="T24" s="21">
        <f>+T16-T18+T22</f>
        <v>0</v>
      </c>
      <c r="U24" s="13"/>
      <c r="V24" s="20">
        <f>IF(T$12=0,0,T24/T$12)</f>
        <v>0</v>
      </c>
      <c r="W24" s="16"/>
      <c r="X24" s="21">
        <f>+P24-T24</f>
        <v>-151</v>
      </c>
      <c r="Y24" s="16"/>
      <c r="Z24" s="20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2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2" customFormat="1" ht="15.75" thickBot="1" x14ac:dyDescent="0.3">
      <c r="A28" s="10"/>
      <c r="B28" s="26" t="s">
        <v>4</v>
      </c>
      <c r="C28" s="26"/>
      <c r="D28" s="33">
        <f>+D24-D26</f>
        <v>-75.5</v>
      </c>
      <c r="E28" s="13"/>
      <c r="F28" s="31">
        <f>IF(D$12=0,0,D28/D$12)</f>
        <v>0</v>
      </c>
      <c r="G28" s="13"/>
      <c r="H28" s="33">
        <f>+H24-H26</f>
        <v>0</v>
      </c>
      <c r="I28" s="13"/>
      <c r="J28" s="31">
        <f>IF(H$12=0,0,H28/H$12)</f>
        <v>0</v>
      </c>
      <c r="K28" s="16"/>
      <c r="L28" s="33">
        <f>D28-H28</f>
        <v>-75.5</v>
      </c>
      <c r="M28" s="16"/>
      <c r="N28" s="31">
        <f>IF(H28=0,0,L28/H28)</f>
        <v>0</v>
      </c>
      <c r="O28" s="25"/>
      <c r="P28" s="33">
        <f>+P24-P26</f>
        <v>-151</v>
      </c>
      <c r="Q28" s="13"/>
      <c r="R28" s="31">
        <f>IF(P$12=0,0,P28/P$12)</f>
        <v>0</v>
      </c>
      <c r="S28" s="13"/>
      <c r="T28" s="33">
        <f>+T24-T26</f>
        <v>0</v>
      </c>
      <c r="U28" s="13"/>
      <c r="V28" s="31">
        <f>IF(T$12=0,0,T28/T$12)</f>
        <v>0</v>
      </c>
      <c r="W28" s="16"/>
      <c r="X28" s="33">
        <f>P28-T28</f>
        <v>-151</v>
      </c>
      <c r="Y28" s="16"/>
      <c r="Z28" s="31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5</v>
      </c>
      <c r="C31" s="26"/>
      <c r="D31" s="32">
        <f>SUM(D28:D30)</f>
        <v>-75.5</v>
      </c>
      <c r="E31" s="13"/>
      <c r="F31" s="35">
        <f>IF(D$12=0,0,D31/D$12)</f>
        <v>0</v>
      </c>
      <c r="G31" s="13"/>
      <c r="H31" s="32">
        <f>SUM(H28:H30)</f>
        <v>0</v>
      </c>
      <c r="I31" s="13"/>
      <c r="J31" s="35">
        <f>IF(H$12=0,0,H31/H$12)</f>
        <v>0</v>
      </c>
      <c r="K31" s="16"/>
      <c r="L31" s="32">
        <f>+D31-H31</f>
        <v>-75.5</v>
      </c>
      <c r="M31" s="16"/>
      <c r="N31" s="35">
        <f>IF(H31=0,0,L31/H31)</f>
        <v>0</v>
      </c>
      <c r="O31" s="25"/>
      <c r="P31" s="32">
        <f>SUM(P28:P30)</f>
        <v>-151</v>
      </c>
      <c r="Q31" s="13"/>
      <c r="R31" s="35">
        <f>IF(P$12=0,0,P31/P$12)</f>
        <v>0</v>
      </c>
      <c r="S31" s="13"/>
      <c r="T31" s="32">
        <f>SUM(T28:T30)</f>
        <v>0</v>
      </c>
      <c r="U31" s="13"/>
      <c r="V31" s="35">
        <f>IF(T$12=0,0,T31/T$12)</f>
        <v>0</v>
      </c>
      <c r="W31" s="16"/>
      <c r="X31" s="32">
        <f>+P31-T31</f>
        <v>-151</v>
      </c>
      <c r="Y31" s="16"/>
      <c r="Z31" s="35">
        <f>IF(T31=0,0,X31/T31)</f>
        <v>0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9">
        <v>44113.690032210645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62" t="s">
        <v>314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63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","444", " - ", "Parkside Dining Hall")</f>
        <v>Department 444 - Parkside Dining Hall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46671.08</v>
      </c>
      <c r="E12" s="4"/>
      <c r="F12" s="12"/>
      <c r="G12" s="4"/>
      <c r="H12" s="4">
        <f>SUM(OSRRefH13x_0)</f>
        <v>70854</v>
      </c>
      <c r="I12" s="4"/>
      <c r="J12" s="12"/>
      <c r="K12" s="4"/>
      <c r="L12" s="4">
        <f t="shared" ref="L12:L16" si="0">+D12-H12</f>
        <v>-24182.92</v>
      </c>
      <c r="M12" s="4"/>
      <c r="N12" s="12">
        <f t="shared" ref="N12:N16" si="1">IF(H12=0,0,L12/H12)</f>
        <v>-0.34130634826544726</v>
      </c>
      <c r="O12" s="10"/>
      <c r="P12" s="4">
        <f>SUM(OSRRefP13x_0)</f>
        <v>46671.08</v>
      </c>
      <c r="Q12" s="4"/>
      <c r="R12" s="12"/>
      <c r="S12" s="4"/>
      <c r="T12" s="4">
        <f>SUM(OSRRefT13x_0)</f>
        <v>70854</v>
      </c>
      <c r="U12" s="4"/>
      <c r="V12" s="12"/>
      <c r="W12" s="4"/>
      <c r="X12" s="4">
        <f t="shared" ref="X12:X16" si="2">+P12-T12</f>
        <v>-24182.92</v>
      </c>
      <c r="Y12" s="4"/>
      <c r="Z12" s="12">
        <f t="shared" ref="Z12:Z16" si="3">IF(T12=0,0,X12/T12)</f>
        <v>-0.34130634826544726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--122.25</f>
        <v>122.25</v>
      </c>
      <c r="E13" s="2"/>
      <c r="F13" s="23"/>
      <c r="G13" s="2"/>
      <c r="H13" s="2"/>
      <c r="I13" s="2"/>
      <c r="J13" s="23"/>
      <c r="K13" s="2"/>
      <c r="L13" s="2">
        <f t="shared" si="0"/>
        <v>122.25</v>
      </c>
      <c r="M13" s="2"/>
      <c r="N13" s="23">
        <f t="shared" si="1"/>
        <v>0</v>
      </c>
      <c r="O13" s="11"/>
      <c r="P13" s="2">
        <f>--122.25</f>
        <v>122.25</v>
      </c>
      <c r="Q13" s="2"/>
      <c r="R13" s="23"/>
      <c r="S13" s="2"/>
      <c r="T13" s="2"/>
      <c r="U13" s="2"/>
      <c r="V13" s="23"/>
      <c r="W13" s="2"/>
      <c r="X13" s="2">
        <f t="shared" si="2"/>
        <v>122.25</v>
      </c>
      <c r="Y13" s="2"/>
      <c r="Z13" s="23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3"/>
      <c r="G14" s="2"/>
      <c r="H14" s="2">
        <v>70854</v>
      </c>
      <c r="I14" s="2"/>
      <c r="J14" s="23"/>
      <c r="K14" s="2"/>
      <c r="L14" s="2">
        <f t="shared" si="0"/>
        <v>-70854</v>
      </c>
      <c r="M14" s="2"/>
      <c r="N14" s="23">
        <f t="shared" si="1"/>
        <v>-1</v>
      </c>
      <c r="O14" s="11"/>
      <c r="P14" s="2">
        <f>0</f>
        <v>0</v>
      </c>
      <c r="Q14" s="2"/>
      <c r="R14" s="23"/>
      <c r="S14" s="2"/>
      <c r="T14" s="2">
        <v>70854</v>
      </c>
      <c r="U14" s="2"/>
      <c r="V14" s="23"/>
      <c r="W14" s="2"/>
      <c r="X14" s="2">
        <f t="shared" si="2"/>
        <v>-70854</v>
      </c>
      <c r="Y14" s="2"/>
      <c r="Z14" s="23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--38750.68</f>
        <v>38750.68</v>
      </c>
      <c r="E15" s="2"/>
      <c r="F15" s="23"/>
      <c r="G15" s="2"/>
      <c r="H15" s="2"/>
      <c r="I15" s="2"/>
      <c r="J15" s="23"/>
      <c r="K15" s="2"/>
      <c r="L15" s="2">
        <f t="shared" si="0"/>
        <v>38750.68</v>
      </c>
      <c r="M15" s="2"/>
      <c r="N15" s="23">
        <f t="shared" si="1"/>
        <v>0</v>
      </c>
      <c r="O15" s="11"/>
      <c r="P15" s="2">
        <f>--38750.68</f>
        <v>38750.68</v>
      </c>
      <c r="Q15" s="2"/>
      <c r="R15" s="23"/>
      <c r="S15" s="2"/>
      <c r="T15" s="2"/>
      <c r="U15" s="2"/>
      <c r="V15" s="23"/>
      <c r="W15" s="2"/>
      <c r="X15" s="2">
        <f t="shared" si="2"/>
        <v>38750.68</v>
      </c>
      <c r="Y15" s="2"/>
      <c r="Z15" s="23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--7798.15</f>
        <v>7798.15</v>
      </c>
      <c r="E16" s="2"/>
      <c r="F16" s="23"/>
      <c r="G16" s="2"/>
      <c r="H16" s="2"/>
      <c r="I16" s="2"/>
      <c r="J16" s="23"/>
      <c r="K16" s="2"/>
      <c r="L16" s="2">
        <f t="shared" si="0"/>
        <v>7798.15</v>
      </c>
      <c r="M16" s="2"/>
      <c r="N16" s="23">
        <f t="shared" si="1"/>
        <v>0</v>
      </c>
      <c r="O16" s="11"/>
      <c r="P16" s="2">
        <f>--7798.15</f>
        <v>7798.15</v>
      </c>
      <c r="Q16" s="2"/>
      <c r="R16" s="23"/>
      <c r="S16" s="2"/>
      <c r="T16" s="2"/>
      <c r="U16" s="2"/>
      <c r="V16" s="23"/>
      <c r="W16" s="2"/>
      <c r="X16" s="2">
        <f t="shared" si="2"/>
        <v>7798.15</v>
      </c>
      <c r="Y16" s="2"/>
      <c r="Z16" s="23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collapsed="1" x14ac:dyDescent="0.25">
      <c r="A18" s="10"/>
      <c r="B18" s="25" t="s">
        <v>8</v>
      </c>
      <c r="C18" s="10"/>
      <c r="D18" s="4">
        <f>SUM(OSRRefD16x_0)</f>
        <v>32645.300000000003</v>
      </c>
      <c r="E18" s="4"/>
      <c r="F18" s="12">
        <f t="shared" ref="F18:F21" si="4">IF(D$12=0,0,D18/D$12)</f>
        <v>0.69947599241328895</v>
      </c>
      <c r="G18" s="4"/>
      <c r="H18" s="4">
        <f>SUM(OSRRefH16x_0)</f>
        <v>30467</v>
      </c>
      <c r="I18" s="4"/>
      <c r="J18" s="12">
        <f t="shared" ref="J18:J21" si="5">IF(H$12=0,0,H18/H$12)</f>
        <v>0.42999689502356958</v>
      </c>
      <c r="K18" s="4"/>
      <c r="L18" s="4">
        <f t="shared" ref="L18:L21" si="6">+D18-H18</f>
        <v>2178.3000000000029</v>
      </c>
      <c r="M18" s="4"/>
      <c r="N18" s="12">
        <f t="shared" ref="N18:N21" si="7">IF(H18=0,0,L18/H18)</f>
        <v>7.1497029572980694E-2</v>
      </c>
      <c r="O18" s="10"/>
      <c r="P18" s="4">
        <f>SUM(OSRRefP16x_0)</f>
        <v>32645.300000000003</v>
      </c>
      <c r="Q18" s="4"/>
      <c r="R18" s="12">
        <f t="shared" ref="R18:R21" si="8">IF(P$12=0,0,P18/P$12)</f>
        <v>0.69947599241328895</v>
      </c>
      <c r="S18" s="4"/>
      <c r="T18" s="4">
        <f>SUM(OSRRefT16x_0)</f>
        <v>30467</v>
      </c>
      <c r="U18" s="4"/>
      <c r="V18" s="12">
        <f t="shared" ref="V18:V21" si="9">IF(T$12=0,0,T18/T$12)</f>
        <v>0.42999689502356958</v>
      </c>
      <c r="W18" s="4"/>
      <c r="X18" s="4">
        <f t="shared" ref="X18:X21" si="10">+P18-T18</f>
        <v>2178.3000000000029</v>
      </c>
      <c r="Y18" s="4"/>
      <c r="Z18" s="12">
        <f t="shared" ref="Z18:Z21" si="11">IF(T18=0,0,X18/T18)</f>
        <v>7.1497029572980694E-2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3">
        <f t="shared" si="4"/>
        <v>0</v>
      </c>
      <c r="G19" s="2"/>
      <c r="H19" s="2">
        <v>30467</v>
      </c>
      <c r="I19" s="2"/>
      <c r="J19" s="23">
        <f t="shared" si="5"/>
        <v>0.42999689502356958</v>
      </c>
      <c r="K19" s="2"/>
      <c r="L19" s="2">
        <f t="shared" si="6"/>
        <v>-30467</v>
      </c>
      <c r="M19" s="2"/>
      <c r="N19" s="23">
        <f t="shared" si="7"/>
        <v>-1</v>
      </c>
      <c r="O19" s="11"/>
      <c r="P19" s="2"/>
      <c r="Q19" s="2"/>
      <c r="R19" s="23">
        <f t="shared" si="8"/>
        <v>0</v>
      </c>
      <c r="S19" s="2"/>
      <c r="T19" s="2">
        <v>30467</v>
      </c>
      <c r="U19" s="2"/>
      <c r="V19" s="23">
        <f t="shared" si="9"/>
        <v>0.42999689502356958</v>
      </c>
      <c r="W19" s="2"/>
      <c r="X19" s="2">
        <f t="shared" si="10"/>
        <v>-30467</v>
      </c>
      <c r="Y19" s="2"/>
      <c r="Z19" s="23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70404.3</v>
      </c>
      <c r="E20" s="2"/>
      <c r="F20" s="23">
        <f t="shared" si="4"/>
        <v>1.5085209084512294</v>
      </c>
      <c r="G20" s="2"/>
      <c r="H20" s="2"/>
      <c r="I20" s="2"/>
      <c r="J20" s="23">
        <f t="shared" si="5"/>
        <v>0</v>
      </c>
      <c r="K20" s="2"/>
      <c r="L20" s="2">
        <f t="shared" si="6"/>
        <v>70404.3</v>
      </c>
      <c r="M20" s="2"/>
      <c r="N20" s="23">
        <f t="shared" si="7"/>
        <v>0</v>
      </c>
      <c r="O20" s="11"/>
      <c r="P20" s="2">
        <v>70404.3</v>
      </c>
      <c r="Q20" s="2"/>
      <c r="R20" s="23">
        <f t="shared" si="8"/>
        <v>1.5085209084512294</v>
      </c>
      <c r="S20" s="2"/>
      <c r="T20" s="2"/>
      <c r="U20" s="2"/>
      <c r="V20" s="23">
        <f t="shared" si="9"/>
        <v>0</v>
      </c>
      <c r="W20" s="2"/>
      <c r="X20" s="2">
        <f t="shared" si="10"/>
        <v>70404.3</v>
      </c>
      <c r="Y20" s="2"/>
      <c r="Z20" s="23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-37759</v>
      </c>
      <c r="E21" s="2"/>
      <c r="F21" s="23">
        <f t="shared" si="4"/>
        <v>-0.80904491603794038</v>
      </c>
      <c r="G21" s="2"/>
      <c r="H21" s="2"/>
      <c r="I21" s="2"/>
      <c r="J21" s="23">
        <f t="shared" si="5"/>
        <v>0</v>
      </c>
      <c r="K21" s="2"/>
      <c r="L21" s="2">
        <f t="shared" si="6"/>
        <v>-37759</v>
      </c>
      <c r="M21" s="2"/>
      <c r="N21" s="23">
        <f t="shared" si="7"/>
        <v>0</v>
      </c>
      <c r="O21" s="11"/>
      <c r="P21" s="2">
        <v>-37759</v>
      </c>
      <c r="Q21" s="2"/>
      <c r="R21" s="23">
        <f t="shared" si="8"/>
        <v>-0.80904491603794038</v>
      </c>
      <c r="S21" s="2"/>
      <c r="T21" s="2"/>
      <c r="U21" s="2"/>
      <c r="V21" s="23">
        <f t="shared" si="9"/>
        <v>0</v>
      </c>
      <c r="W21" s="2"/>
      <c r="X21" s="2">
        <f t="shared" si="10"/>
        <v>-37759</v>
      </c>
      <c r="Y21" s="2"/>
      <c r="Z21" s="23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2" customFormat="1" x14ac:dyDescent="0.25">
      <c r="A23" s="10"/>
      <c r="B23" s="26" t="s">
        <v>6</v>
      </c>
      <c r="C23" s="26"/>
      <c r="D23" s="21">
        <f>D12-D18</f>
        <v>14025.779999999999</v>
      </c>
      <c r="E23" s="13"/>
      <c r="F23" s="20">
        <f>IF(D$12=0,0,D23/D$12)</f>
        <v>0.30052400758671105</v>
      </c>
      <c r="G23" s="13"/>
      <c r="H23" s="21">
        <f>H12-H18</f>
        <v>40387</v>
      </c>
      <c r="I23" s="13"/>
      <c r="J23" s="20">
        <f>IF(H$12=0,0,H23/H$12)</f>
        <v>0.57000310497643036</v>
      </c>
      <c r="K23" s="16"/>
      <c r="L23" s="21">
        <f>+D23-H23</f>
        <v>-26361.22</v>
      </c>
      <c r="M23" s="16"/>
      <c r="N23" s="20">
        <f>IF(H23=0,0,L23/H23)</f>
        <v>-0.6527154777527423</v>
      </c>
      <c r="O23" s="25"/>
      <c r="P23" s="21">
        <f>P12-P18</f>
        <v>14025.779999999999</v>
      </c>
      <c r="Q23" s="13"/>
      <c r="R23" s="20">
        <f>IF(P$12=0,0,P23/P$12)</f>
        <v>0.30052400758671105</v>
      </c>
      <c r="S23" s="13"/>
      <c r="T23" s="21">
        <f>T12-T18</f>
        <v>40387</v>
      </c>
      <c r="U23" s="13"/>
      <c r="V23" s="20">
        <f>IF(T$12=0,0,T23/T$12)</f>
        <v>0.57000310497643036</v>
      </c>
      <c r="W23" s="16"/>
      <c r="X23" s="21">
        <f>+P23-T23</f>
        <v>-26361.22</v>
      </c>
      <c r="Y23" s="16"/>
      <c r="Z23" s="20">
        <f>IF(T23=0,0,X23/T23)</f>
        <v>-0.6527154777527423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2" customFormat="1" x14ac:dyDescent="0.25">
      <c r="A25" s="10"/>
      <c r="B25" s="25" t="s">
        <v>9</v>
      </c>
      <c r="C25" s="10"/>
      <c r="D25" s="19">
        <f>SUM(OSRRefD22x_0)</f>
        <v>94892.489999999976</v>
      </c>
      <c r="E25" s="19"/>
      <c r="F25" s="30">
        <f t="shared" ref="F25:F36" si="12">IF(D$12=0,0,D25/D$12)</f>
        <v>2.0332182156487479</v>
      </c>
      <c r="G25" s="19"/>
      <c r="H25" s="19">
        <f>SUM(OSRRefH22x_0)</f>
        <v>111718.0164237693</v>
      </c>
      <c r="I25" s="19"/>
      <c r="J25" s="30">
        <f t="shared" ref="J25:J36" si="13">IF(H$12=0,0,H25/H$12)</f>
        <v>1.5767354902160682</v>
      </c>
      <c r="K25" s="4"/>
      <c r="L25" s="19">
        <f t="shared" ref="L25:L36" si="14">+D25-H25</f>
        <v>-16825.526423769319</v>
      </c>
      <c r="M25" s="4"/>
      <c r="N25" s="30">
        <f t="shared" ref="N25:N36" si="15">IF(H25=0,0,L25/H25)</f>
        <v>-0.15060709957422314</v>
      </c>
      <c r="O25" s="10"/>
      <c r="P25" s="19">
        <f>SUM(OSRRefP22x_0)</f>
        <v>159445.33000000002</v>
      </c>
      <c r="Q25" s="19"/>
      <c r="R25" s="30">
        <f t="shared" ref="R25:R36" si="16">IF(P$12=0,0,P25/P$12)</f>
        <v>3.4163625525700287</v>
      </c>
      <c r="S25" s="19"/>
      <c r="T25" s="19">
        <f>SUM(OSRRefT22x_0)</f>
        <v>209147.12030473084</v>
      </c>
      <c r="U25" s="19"/>
      <c r="V25" s="30">
        <f t="shared" ref="V25:V36" si="17">IF(T$12=0,0,T25/T$12)</f>
        <v>2.9518039956068938</v>
      </c>
      <c r="W25" s="4"/>
      <c r="X25" s="19">
        <f t="shared" ref="X25:X36" si="18">+P25-T25</f>
        <v>-49701.790304730821</v>
      </c>
      <c r="Y25" s="4"/>
      <c r="Z25" s="30">
        <f t="shared" ref="Z25:Z36" si="19">IF(T25=0,0,X25/T25)</f>
        <v>-0.23764032816858527</v>
      </c>
    </row>
    <row r="26" spans="1:26" s="29" customFormat="1" outlineLevel="1" collapsed="1" x14ac:dyDescent="0.25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27394.1</v>
      </c>
      <c r="E26" s="1"/>
      <c r="F26" s="5">
        <f t="shared" si="12"/>
        <v>0.58696091883881829</v>
      </c>
      <c r="G26" s="1"/>
      <c r="H26" s="1">
        <f>SUM(OSRRefH22_0x_0)</f>
        <v>35512.014302230789</v>
      </c>
      <c r="I26" s="1"/>
      <c r="J26" s="5">
        <f t="shared" si="13"/>
        <v>0.50119985183942739</v>
      </c>
      <c r="K26" s="1"/>
      <c r="L26" s="1">
        <f t="shared" si="14"/>
        <v>-8117.9143022307908</v>
      </c>
      <c r="M26" s="1"/>
      <c r="N26" s="5">
        <f t="shared" si="15"/>
        <v>-0.22859627823817474</v>
      </c>
      <c r="O26" s="14"/>
      <c r="P26" s="1">
        <f>SUM(OSRRefP22_0x_0)</f>
        <v>55803.909999999996</v>
      </c>
      <c r="Q26" s="1"/>
      <c r="R26" s="5">
        <f t="shared" si="16"/>
        <v>1.1956849937905871</v>
      </c>
      <c r="S26" s="1"/>
      <c r="T26" s="1">
        <f>SUM(OSRRefT22_0x_0)</f>
        <v>75307.977606269225</v>
      </c>
      <c r="U26" s="1"/>
      <c r="V26" s="5">
        <f t="shared" si="17"/>
        <v>1.0628613431319223</v>
      </c>
      <c r="W26" s="1"/>
      <c r="X26" s="1">
        <f t="shared" si="18"/>
        <v>-19504.067606269229</v>
      </c>
      <c r="Y26" s="1"/>
      <c r="Z26" s="5">
        <f t="shared" si="19"/>
        <v>-0.25899072350929203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2747.04</v>
      </c>
      <c r="E27" s="2"/>
      <c r="F27" s="7">
        <f t="shared" si="12"/>
        <v>5.8859576422915429E-2</v>
      </c>
      <c r="G27" s="2"/>
      <c r="H27" s="6">
        <v>3901.8078747692302</v>
      </c>
      <c r="I27" s="2"/>
      <c r="J27" s="7">
        <f t="shared" si="13"/>
        <v>5.506827948696235E-2</v>
      </c>
      <c r="K27" s="2"/>
      <c r="L27" s="6">
        <f t="shared" si="14"/>
        <v>-1154.7678747692303</v>
      </c>
      <c r="M27" s="2"/>
      <c r="N27" s="7">
        <f t="shared" si="15"/>
        <v>-0.29595713367550885</v>
      </c>
      <c r="O27" s="11"/>
      <c r="P27" s="6">
        <v>5240.2700000000004</v>
      </c>
      <c r="Q27" s="2"/>
      <c r="R27" s="7">
        <f t="shared" si="16"/>
        <v>0.11228088143664128</v>
      </c>
      <c r="S27" s="2"/>
      <c r="T27" s="6">
        <v>7866.5431307307699</v>
      </c>
      <c r="U27" s="2"/>
      <c r="V27" s="7">
        <f t="shared" si="17"/>
        <v>0.11102468640769426</v>
      </c>
      <c r="W27" s="2"/>
      <c r="X27" s="6">
        <f t="shared" si="18"/>
        <v>-2626.2731307307695</v>
      </c>
      <c r="Y27" s="2"/>
      <c r="Z27" s="7">
        <f t="shared" si="19"/>
        <v>-0.33385352207263619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1593.48</v>
      </c>
      <c r="E28" s="2"/>
      <c r="F28" s="7">
        <f t="shared" si="12"/>
        <v>3.4142771069364579E-2</v>
      </c>
      <c r="G28" s="2"/>
      <c r="H28" s="6">
        <v>2400.3111462000002</v>
      </c>
      <c r="I28" s="2"/>
      <c r="J28" s="7">
        <f t="shared" si="13"/>
        <v>3.3876861520873915E-2</v>
      </c>
      <c r="K28" s="2"/>
      <c r="L28" s="6">
        <f t="shared" si="14"/>
        <v>-806.83114620000015</v>
      </c>
      <c r="M28" s="2"/>
      <c r="N28" s="7">
        <f t="shared" si="15"/>
        <v>-0.33613606614180713</v>
      </c>
      <c r="O28" s="11"/>
      <c r="P28" s="6">
        <v>2990.4</v>
      </c>
      <c r="Q28" s="2"/>
      <c r="R28" s="7">
        <f t="shared" si="16"/>
        <v>6.4073940435918769E-2</v>
      </c>
      <c r="S28" s="2"/>
      <c r="T28" s="6">
        <v>4622.8009212000006</v>
      </c>
      <c r="U28" s="2"/>
      <c r="V28" s="7">
        <f t="shared" si="17"/>
        <v>6.5244035921754609E-2</v>
      </c>
      <c r="W28" s="2"/>
      <c r="X28" s="6">
        <f t="shared" si="18"/>
        <v>-1632.4009212000005</v>
      </c>
      <c r="Y28" s="2"/>
      <c r="Z28" s="7">
        <f t="shared" si="19"/>
        <v>-0.35311945052919497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16509.649999999998</v>
      </c>
      <c r="E29" s="2"/>
      <c r="F29" s="7">
        <f t="shared" si="12"/>
        <v>0.35374476013839828</v>
      </c>
      <c r="G29" s="2"/>
      <c r="H29" s="6">
        <v>19569.615384615401</v>
      </c>
      <c r="I29" s="2"/>
      <c r="J29" s="7">
        <f t="shared" si="13"/>
        <v>0.276196338733387</v>
      </c>
      <c r="K29" s="2"/>
      <c r="L29" s="6">
        <f t="shared" si="14"/>
        <v>-3059.9653846154033</v>
      </c>
      <c r="M29" s="2"/>
      <c r="N29" s="7">
        <f t="shared" si="15"/>
        <v>-0.15636308248658717</v>
      </c>
      <c r="O29" s="11"/>
      <c r="P29" s="6">
        <v>33019.299999999996</v>
      </c>
      <c r="Q29" s="2"/>
      <c r="R29" s="7">
        <f t="shared" si="16"/>
        <v>0.70748952027679657</v>
      </c>
      <c r="S29" s="2"/>
      <c r="T29" s="6">
        <v>42200.384615384603</v>
      </c>
      <c r="U29" s="2"/>
      <c r="V29" s="7">
        <f t="shared" si="17"/>
        <v>0.59559636174929576</v>
      </c>
      <c r="W29" s="2"/>
      <c r="X29" s="6">
        <f t="shared" si="18"/>
        <v>-9181.0846153846069</v>
      </c>
      <c r="Y29" s="2"/>
      <c r="Z29" s="7">
        <f t="shared" si="19"/>
        <v>-0.21755926395129452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96.57</v>
      </c>
      <c r="E30" s="2"/>
      <c r="F30" s="7">
        <f t="shared" si="12"/>
        <v>2.0691614593019913E-3</v>
      </c>
      <c r="G30" s="2"/>
      <c r="H30" s="6">
        <v>145.4734028</v>
      </c>
      <c r="I30" s="2"/>
      <c r="J30" s="7">
        <f t="shared" si="13"/>
        <v>2.0531431224772067E-3</v>
      </c>
      <c r="K30" s="2"/>
      <c r="L30" s="6">
        <f t="shared" si="14"/>
        <v>-48.903402800000009</v>
      </c>
      <c r="M30" s="2"/>
      <c r="N30" s="7">
        <f t="shared" si="15"/>
        <v>-0.33616731209094952</v>
      </c>
      <c r="O30" s="11"/>
      <c r="P30" s="6">
        <v>253.39</v>
      </c>
      <c r="Q30" s="2"/>
      <c r="R30" s="7">
        <f t="shared" si="16"/>
        <v>5.4292722602519586E-3</v>
      </c>
      <c r="S30" s="2"/>
      <c r="T30" s="6">
        <v>280.16975280000003</v>
      </c>
      <c r="U30" s="2"/>
      <c r="V30" s="7">
        <f t="shared" si="17"/>
        <v>3.9541839952578544E-3</v>
      </c>
      <c r="W30" s="2"/>
      <c r="X30" s="6">
        <f t="shared" si="18"/>
        <v>-26.77975280000004</v>
      </c>
      <c r="Y30" s="2"/>
      <c r="Z30" s="7">
        <f t="shared" si="19"/>
        <v>-9.5584025514406049E-2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1457.5</v>
      </c>
      <c r="E31" s="2"/>
      <c r="F31" s="7">
        <f t="shared" si="12"/>
        <v>3.1229189468081731E-2</v>
      </c>
      <c r="G31" s="2"/>
      <c r="H31" s="6">
        <v>1778.4998461538501</v>
      </c>
      <c r="I31" s="2"/>
      <c r="J31" s="7">
        <f t="shared" si="13"/>
        <v>2.5100909562676067E-2</v>
      </c>
      <c r="K31" s="2"/>
      <c r="L31" s="6">
        <f t="shared" si="14"/>
        <v>-320.99984615385006</v>
      </c>
      <c r="M31" s="2"/>
      <c r="N31" s="7">
        <f t="shared" si="15"/>
        <v>-0.18048910538172844</v>
      </c>
      <c r="O31" s="11"/>
      <c r="P31" s="6">
        <v>3643.75</v>
      </c>
      <c r="Q31" s="2"/>
      <c r="R31" s="7">
        <f t="shared" si="16"/>
        <v>7.8072973670204326E-2</v>
      </c>
      <c r="S31" s="2"/>
      <c r="T31" s="6">
        <v>4001.6246538461601</v>
      </c>
      <c r="U31" s="2"/>
      <c r="V31" s="7">
        <f t="shared" si="17"/>
        <v>5.6477046516021118E-2</v>
      </c>
      <c r="W31" s="2"/>
      <c r="X31" s="6">
        <f t="shared" si="18"/>
        <v>-357.87465384616007</v>
      </c>
      <c r="Y31" s="2"/>
      <c r="Z31" s="7">
        <f t="shared" si="19"/>
        <v>-8.9432339313031017E-2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503.56</v>
      </c>
      <c r="E33" s="2"/>
      <c r="F33" s="7">
        <f t="shared" si="12"/>
        <v>1.0789551045315428E-2</v>
      </c>
      <c r="G33" s="2"/>
      <c r="H33" s="6"/>
      <c r="I33" s="2"/>
      <c r="J33" s="7">
        <f t="shared" si="13"/>
        <v>0</v>
      </c>
      <c r="K33" s="2"/>
      <c r="L33" s="6">
        <f t="shared" si="14"/>
        <v>503.56</v>
      </c>
      <c r="M33" s="2"/>
      <c r="N33" s="7">
        <f t="shared" si="15"/>
        <v>0</v>
      </c>
      <c r="O33" s="11"/>
      <c r="P33" s="6">
        <v>1255.92</v>
      </c>
      <c r="Q33" s="2"/>
      <c r="R33" s="7">
        <f t="shared" si="16"/>
        <v>2.6910026508921586E-2</v>
      </c>
      <c r="S33" s="2"/>
      <c r="T33" s="6"/>
      <c r="U33" s="2"/>
      <c r="V33" s="7">
        <f t="shared" si="17"/>
        <v>0</v>
      </c>
      <c r="W33" s="2"/>
      <c r="X33" s="6">
        <f t="shared" si="18"/>
        <v>1255.92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2382.3000000000002</v>
      </c>
      <c r="E34" s="2"/>
      <c r="F34" s="7">
        <f t="shared" si="12"/>
        <v>5.1044458366937301E-2</v>
      </c>
      <c r="G34" s="2"/>
      <c r="H34" s="6">
        <v>3283.8667692307704</v>
      </c>
      <c r="I34" s="2"/>
      <c r="J34" s="7">
        <f t="shared" si="13"/>
        <v>4.6346949632071165E-2</v>
      </c>
      <c r="K34" s="2"/>
      <c r="L34" s="6">
        <f t="shared" si="14"/>
        <v>-901.56676923077021</v>
      </c>
      <c r="M34" s="2"/>
      <c r="N34" s="7">
        <f t="shared" si="15"/>
        <v>-0.2745442591271624</v>
      </c>
      <c r="O34" s="11"/>
      <c r="P34" s="6">
        <v>4748.4799999999996</v>
      </c>
      <c r="Q34" s="2"/>
      <c r="R34" s="7">
        <f t="shared" si="16"/>
        <v>0.10174352082703035</v>
      </c>
      <c r="S34" s="2"/>
      <c r="T34" s="6">
        <v>7388.7002307692301</v>
      </c>
      <c r="U34" s="2"/>
      <c r="V34" s="7">
        <f t="shared" si="17"/>
        <v>0.10428063667216007</v>
      </c>
      <c r="W34" s="2"/>
      <c r="X34" s="6">
        <f t="shared" si="18"/>
        <v>-2640.2202307692305</v>
      </c>
      <c r="Y34" s="2"/>
      <c r="Z34" s="7">
        <f t="shared" si="19"/>
        <v>-0.35733216239771037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1504</v>
      </c>
      <c r="E35" s="2"/>
      <c r="F35" s="7">
        <f t="shared" si="12"/>
        <v>3.2225523814747803E-2</v>
      </c>
      <c r="G35" s="2"/>
      <c r="H35" s="6">
        <v>2507.43987846154</v>
      </c>
      <c r="I35" s="2"/>
      <c r="J35" s="7">
        <f t="shared" si="13"/>
        <v>3.5388826014925621E-2</v>
      </c>
      <c r="K35" s="2"/>
      <c r="L35" s="6">
        <f t="shared" si="14"/>
        <v>-1003.43987846154</v>
      </c>
      <c r="M35" s="2"/>
      <c r="N35" s="7">
        <f t="shared" si="15"/>
        <v>-0.40018502021959096</v>
      </c>
      <c r="O35" s="11"/>
      <c r="P35" s="6">
        <v>3008</v>
      </c>
      <c r="Q35" s="2"/>
      <c r="R35" s="7">
        <f t="shared" si="16"/>
        <v>6.4451047629495606E-2</v>
      </c>
      <c r="S35" s="2"/>
      <c r="T35" s="6">
        <v>5097.7543015384599</v>
      </c>
      <c r="U35" s="2"/>
      <c r="V35" s="7">
        <f t="shared" si="17"/>
        <v>7.1947304337630344E-2</v>
      </c>
      <c r="W35" s="2"/>
      <c r="X35" s="6">
        <f t="shared" si="18"/>
        <v>-2089.7543015384599</v>
      </c>
      <c r="Y35" s="2"/>
      <c r="Z35" s="7">
        <f t="shared" si="19"/>
        <v>-0.4099362538731593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600</v>
      </c>
      <c r="E36" s="2"/>
      <c r="F36" s="7">
        <f t="shared" si="12"/>
        <v>1.2855927053755772E-2</v>
      </c>
      <c r="G36" s="2"/>
      <c r="H36" s="6">
        <v>1925</v>
      </c>
      <c r="I36" s="2"/>
      <c r="J36" s="7">
        <f t="shared" si="13"/>
        <v>2.716854376605414E-2</v>
      </c>
      <c r="K36" s="2"/>
      <c r="L36" s="6">
        <f t="shared" si="14"/>
        <v>-1325</v>
      </c>
      <c r="M36" s="2"/>
      <c r="N36" s="7">
        <f t="shared" si="15"/>
        <v>-0.68831168831168832</v>
      </c>
      <c r="O36" s="11"/>
      <c r="P36" s="6">
        <v>1644.4</v>
      </c>
      <c r="Q36" s="2"/>
      <c r="R36" s="7">
        <f t="shared" si="16"/>
        <v>3.5233810745326659E-2</v>
      </c>
      <c r="S36" s="2"/>
      <c r="T36" s="6">
        <v>3850</v>
      </c>
      <c r="U36" s="2"/>
      <c r="V36" s="7">
        <f t="shared" si="17"/>
        <v>5.433708753210828E-2</v>
      </c>
      <c r="W36" s="2"/>
      <c r="X36" s="6">
        <f t="shared" si="18"/>
        <v>-2205.6</v>
      </c>
      <c r="Y36" s="2"/>
      <c r="Z36" s="7">
        <f t="shared" si="19"/>
        <v>-0.57288311688311688</v>
      </c>
    </row>
    <row r="37" spans="1:26" s="29" customFormat="1" outlineLevel="1" collapsed="1" x14ac:dyDescent="0.25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42549.43</v>
      </c>
      <c r="E37" s="1"/>
      <c r="F37" s="5">
        <f t="shared" ref="F37:F47" si="20">IF(D$12=0,0,D37/D$12)</f>
        <v>0.91168728043147917</v>
      </c>
      <c r="G37" s="1"/>
      <c r="H37" s="1">
        <f>SUM(OSRRefH22_1x_0)</f>
        <v>50160.002121538506</v>
      </c>
      <c r="I37" s="1"/>
      <c r="J37" s="5">
        <f t="shared" ref="J37:J47" si="21">IF(H$12=0,0,H37/H$12)</f>
        <v>0.70793465607500639</v>
      </c>
      <c r="K37" s="1"/>
      <c r="L37" s="1">
        <f t="shared" ref="L37:L47" si="22">+D37-H37</f>
        <v>-7610.5721215385056</v>
      </c>
      <c r="M37" s="1"/>
      <c r="N37" s="5">
        <f t="shared" ref="N37:N47" si="23">IF(H37=0,0,L37/H37)</f>
        <v>-0.15172591307109526</v>
      </c>
      <c r="O37" s="14"/>
      <c r="P37" s="1">
        <f>SUM(OSRRefP22_1x_0)</f>
        <v>75690.039999999994</v>
      </c>
      <c r="Q37" s="1"/>
      <c r="R37" s="5">
        <f t="shared" ref="R37:R47" si="24">IF(P$12=0,0,P37/P$12)</f>
        <v>1.6217760548930942</v>
      </c>
      <c r="S37" s="1"/>
      <c r="T37" s="1">
        <f>SUM(OSRRefT22_1x_0)</f>
        <v>95271.142698461597</v>
      </c>
      <c r="U37" s="1"/>
      <c r="V37" s="5">
        <f t="shared" ref="V37:V47" si="25">IF(T$12=0,0,T37/T$12)</f>
        <v>1.3446120571663081</v>
      </c>
      <c r="W37" s="1"/>
      <c r="X37" s="1">
        <f t="shared" ref="X37:X47" si="26">+P37-T37</f>
        <v>-19581.102698461604</v>
      </c>
      <c r="Y37" s="1"/>
      <c r="Z37" s="5">
        <f t="shared" ref="Z37:Z47" si="27">IF(T37=0,0,X37/T37)</f>
        <v>-0.2055302596761841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15464.24</v>
      </c>
      <c r="E39" s="2"/>
      <c r="F39" s="7">
        <f t="shared" si="20"/>
        <v>0.33134523563628693</v>
      </c>
      <c r="G39" s="2"/>
      <c r="H39" s="6">
        <v>17815.8884615385</v>
      </c>
      <c r="I39" s="2"/>
      <c r="J39" s="7">
        <f t="shared" si="21"/>
        <v>0.25144506254464816</v>
      </c>
      <c r="K39" s="2"/>
      <c r="L39" s="6">
        <f t="shared" si="22"/>
        <v>-2351.6484615384998</v>
      </c>
      <c r="M39" s="2"/>
      <c r="N39" s="7">
        <f t="shared" si="23"/>
        <v>-0.13199726000840836</v>
      </c>
      <c r="O39" s="11"/>
      <c r="P39" s="6">
        <v>33785.839999999997</v>
      </c>
      <c r="Q39" s="2"/>
      <c r="R39" s="7">
        <f t="shared" si="24"/>
        <v>0.72391382414977312</v>
      </c>
      <c r="S39" s="2"/>
      <c r="T39" s="6">
        <v>40085.749038461603</v>
      </c>
      <c r="U39" s="2"/>
      <c r="V39" s="7">
        <f t="shared" si="25"/>
        <v>0.56575139072545799</v>
      </c>
      <c r="W39" s="2"/>
      <c r="X39" s="6">
        <f t="shared" si="26"/>
        <v>-6299.9090384616065</v>
      </c>
      <c r="Y39" s="2"/>
      <c r="Z39" s="7">
        <f t="shared" si="27"/>
        <v>-0.15716081623963044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14453.09</v>
      </c>
      <c r="E41" s="2"/>
      <c r="F41" s="7">
        <f t="shared" si="20"/>
        <v>0.30967978456894502</v>
      </c>
      <c r="G41" s="2"/>
      <c r="H41" s="6">
        <v>18273.024000000001</v>
      </c>
      <c r="I41" s="2"/>
      <c r="J41" s="7">
        <f t="shared" si="21"/>
        <v>0.2578968583283936</v>
      </c>
      <c r="K41" s="2"/>
      <c r="L41" s="6">
        <f t="shared" si="22"/>
        <v>-3819.9340000000011</v>
      </c>
      <c r="M41" s="2"/>
      <c r="N41" s="7">
        <f t="shared" si="23"/>
        <v>-0.20904771974250133</v>
      </c>
      <c r="O41" s="11"/>
      <c r="P41" s="6">
        <v>26418.1</v>
      </c>
      <c r="Q41" s="2"/>
      <c r="R41" s="7">
        <f t="shared" si="24"/>
        <v>0.56604861083137559</v>
      </c>
      <c r="S41" s="2"/>
      <c r="T41" s="6">
        <v>41114.303999999996</v>
      </c>
      <c r="U41" s="2"/>
      <c r="V41" s="7">
        <f t="shared" si="25"/>
        <v>0.58026793123888554</v>
      </c>
      <c r="W41" s="2"/>
      <c r="X41" s="6">
        <f t="shared" si="26"/>
        <v>-14696.203999999998</v>
      </c>
      <c r="Y41" s="2"/>
      <c r="Z41" s="7">
        <f t="shared" si="27"/>
        <v>-0.35744747132287585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953.1</v>
      </c>
      <c r="E42" s="2"/>
      <c r="F42" s="7">
        <f t="shared" si="20"/>
        <v>2.0421640124891047E-2</v>
      </c>
      <c r="G42" s="2"/>
      <c r="H42" s="6">
        <v>4818.2596600000006</v>
      </c>
      <c r="I42" s="2"/>
      <c r="J42" s="7">
        <f t="shared" si="21"/>
        <v>6.8002648544895142E-2</v>
      </c>
      <c r="K42" s="2"/>
      <c r="L42" s="6">
        <f t="shared" si="22"/>
        <v>-3865.1596600000007</v>
      </c>
      <c r="M42" s="2"/>
      <c r="N42" s="7">
        <f t="shared" si="23"/>
        <v>-0.8021899882415221</v>
      </c>
      <c r="O42" s="11"/>
      <c r="P42" s="6">
        <v>953.1</v>
      </c>
      <c r="Q42" s="2"/>
      <c r="R42" s="7">
        <f t="shared" si="24"/>
        <v>2.0421640124891047E-2</v>
      </c>
      <c r="S42" s="2"/>
      <c r="T42" s="6">
        <v>4818.2596600000006</v>
      </c>
      <c r="U42" s="2"/>
      <c r="V42" s="7">
        <f t="shared" si="25"/>
        <v>6.8002648544895142E-2</v>
      </c>
      <c r="W42" s="2"/>
      <c r="X42" s="6">
        <f t="shared" si="26"/>
        <v>-3865.1596600000007</v>
      </c>
      <c r="Y42" s="2"/>
      <c r="Z42" s="7">
        <f t="shared" si="27"/>
        <v>-0.8021899882415221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11062.67</v>
      </c>
      <c r="E44" s="2"/>
      <c r="F44" s="7">
        <f t="shared" si="20"/>
        <v>0.23703479756628729</v>
      </c>
      <c r="G44" s="2"/>
      <c r="H44" s="6">
        <v>9252.83</v>
      </c>
      <c r="I44" s="2"/>
      <c r="J44" s="7">
        <f t="shared" si="21"/>
        <v>0.13059008665706948</v>
      </c>
      <c r="K44" s="2"/>
      <c r="L44" s="6">
        <f t="shared" si="22"/>
        <v>1809.8400000000001</v>
      </c>
      <c r="M44" s="2"/>
      <c r="N44" s="7">
        <f t="shared" si="23"/>
        <v>0.19559853579931763</v>
      </c>
      <c r="O44" s="11"/>
      <c r="P44" s="6">
        <v>13916.67</v>
      </c>
      <c r="Q44" s="2"/>
      <c r="R44" s="7">
        <f t="shared" si="24"/>
        <v>0.29818615725198561</v>
      </c>
      <c r="S44" s="2"/>
      <c r="T44" s="6">
        <v>9252.83</v>
      </c>
      <c r="U44" s="2"/>
      <c r="V44" s="7">
        <f t="shared" si="25"/>
        <v>0.13059008665706948</v>
      </c>
      <c r="W44" s="2"/>
      <c r="X44" s="6">
        <f t="shared" si="26"/>
        <v>4663.84</v>
      </c>
      <c r="Y44" s="2"/>
      <c r="Z44" s="7">
        <f t="shared" si="27"/>
        <v>0.5040447084837828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616.33000000000004</v>
      </c>
      <c r="E45" s="2"/>
      <c r="F45" s="7">
        <f t="shared" si="20"/>
        <v>1.3205822535068827E-2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616.33000000000004</v>
      </c>
      <c r="M45" s="2"/>
      <c r="N45" s="7">
        <f t="shared" si="23"/>
        <v>0</v>
      </c>
      <c r="O45" s="11"/>
      <c r="P45" s="6">
        <v>616.33000000000004</v>
      </c>
      <c r="Q45" s="2"/>
      <c r="R45" s="7">
        <f t="shared" si="24"/>
        <v>1.3205822535068827E-2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616.33000000000004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9" customFormat="1" outlineLevel="1" collapsed="1" x14ac:dyDescent="0.25">
      <c r="A48" s="28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704.51</v>
      </c>
      <c r="E48" s="1"/>
      <c r="F48" s="5">
        <f t="shared" ref="F48:F69" si="28">IF(D$12=0,0,D48/D$12)</f>
        <v>1.5095215281069132E-2</v>
      </c>
      <c r="G48" s="1"/>
      <c r="H48" s="1">
        <f>SUM(OSRRefH22_2x_0)</f>
        <v>738</v>
      </c>
      <c r="I48" s="1"/>
      <c r="J48" s="5">
        <f t="shared" ref="J48:J69" si="29">IF(H$12=0,0,H48/H$12)</f>
        <v>1.0415784571089846E-2</v>
      </c>
      <c r="K48" s="1"/>
      <c r="L48" s="1">
        <f t="shared" ref="L48:L69" si="30">+D48-H48</f>
        <v>-33.490000000000009</v>
      </c>
      <c r="M48" s="1"/>
      <c r="N48" s="5">
        <f t="shared" ref="N48:N69" si="31">IF(H48=0,0,L48/H48)</f>
        <v>-4.5379403794037952E-2</v>
      </c>
      <c r="O48" s="14"/>
      <c r="P48" s="1">
        <f>SUM(OSRRefP22_2x_0)</f>
        <v>1224.25</v>
      </c>
      <c r="Q48" s="1"/>
      <c r="R48" s="5">
        <f t="shared" ref="R48:R69" si="32">IF(P$12=0,0,P48/P$12)</f>
        <v>2.6231447825934173E-2</v>
      </c>
      <c r="S48" s="1"/>
      <c r="T48" s="1">
        <f>SUM(OSRRefT22_2x_0)</f>
        <v>738</v>
      </c>
      <c r="U48" s="1"/>
      <c r="V48" s="5">
        <f t="shared" ref="V48:V69" si="33">IF(T$12=0,0,T48/T$12)</f>
        <v>1.0415784571089846E-2</v>
      </c>
      <c r="W48" s="1"/>
      <c r="X48" s="1">
        <f t="shared" ref="X48:X69" si="34">+P48-T48</f>
        <v>486.25</v>
      </c>
      <c r="Y48" s="1"/>
      <c r="Z48" s="5">
        <f t="shared" ref="Z48:Z69" si="35">IF(T48=0,0,X48/T48)</f>
        <v>0.65887533875338755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704.51</v>
      </c>
      <c r="E49" s="2"/>
      <c r="F49" s="7">
        <f t="shared" si="28"/>
        <v>1.5095215281069132E-2</v>
      </c>
      <c r="G49" s="2"/>
      <c r="H49" s="6">
        <v>738</v>
      </c>
      <c r="I49" s="2"/>
      <c r="J49" s="7">
        <f t="shared" si="29"/>
        <v>1.0415784571089846E-2</v>
      </c>
      <c r="K49" s="2"/>
      <c r="L49" s="6">
        <f t="shared" si="30"/>
        <v>-33.490000000000009</v>
      </c>
      <c r="M49" s="2"/>
      <c r="N49" s="7">
        <f t="shared" si="31"/>
        <v>-4.5379403794037952E-2</v>
      </c>
      <c r="O49" s="11"/>
      <c r="P49" s="6">
        <v>1224.25</v>
      </c>
      <c r="Q49" s="2"/>
      <c r="R49" s="7">
        <f t="shared" si="32"/>
        <v>2.6231447825934173E-2</v>
      </c>
      <c r="S49" s="2"/>
      <c r="T49" s="6">
        <v>738</v>
      </c>
      <c r="U49" s="2"/>
      <c r="V49" s="7">
        <f t="shared" si="33"/>
        <v>1.0415784571089846E-2</v>
      </c>
      <c r="W49" s="2"/>
      <c r="X49" s="6">
        <f t="shared" si="34"/>
        <v>486.25</v>
      </c>
      <c r="Y49" s="2"/>
      <c r="Z49" s="7">
        <f t="shared" si="35"/>
        <v>0.65887533875338755</v>
      </c>
    </row>
    <row r="50" spans="1:26" s="29" customFormat="1" outlineLevel="1" collapsed="1" x14ac:dyDescent="0.25">
      <c r="A50" s="28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32</v>
      </c>
      <c r="E50" s="1"/>
      <c r="F50" s="5">
        <f t="shared" si="28"/>
        <v>6.8564944286697452E-4</v>
      </c>
      <c r="G50" s="1"/>
      <c r="H50" s="1">
        <f>SUM(OSRRefH22_3x_0)</f>
        <v>8</v>
      </c>
      <c r="I50" s="1"/>
      <c r="J50" s="5">
        <f t="shared" si="29"/>
        <v>1.1290823383295227E-4</v>
      </c>
      <c r="K50" s="1"/>
      <c r="L50" s="1">
        <f t="shared" si="30"/>
        <v>24</v>
      </c>
      <c r="M50" s="1"/>
      <c r="N50" s="5">
        <f t="shared" si="31"/>
        <v>3</v>
      </c>
      <c r="O50" s="14"/>
      <c r="P50" s="1">
        <f>SUM(OSRRefP22_3x_0)</f>
        <v>32</v>
      </c>
      <c r="Q50" s="1"/>
      <c r="R50" s="5">
        <f t="shared" si="32"/>
        <v>6.8564944286697452E-4</v>
      </c>
      <c r="S50" s="1"/>
      <c r="T50" s="1">
        <f>SUM(OSRRefT22_3x_0)</f>
        <v>8</v>
      </c>
      <c r="U50" s="1"/>
      <c r="V50" s="5">
        <f t="shared" si="33"/>
        <v>1.1290823383295227E-4</v>
      </c>
      <c r="W50" s="1"/>
      <c r="X50" s="1">
        <f t="shared" si="34"/>
        <v>24</v>
      </c>
      <c r="Y50" s="1"/>
      <c r="Z50" s="5">
        <f t="shared" si="35"/>
        <v>3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>
        <v>32</v>
      </c>
      <c r="E51" s="2"/>
      <c r="F51" s="7">
        <f t="shared" si="28"/>
        <v>6.8564944286697452E-4</v>
      </c>
      <c r="G51" s="2"/>
      <c r="H51" s="6">
        <v>8</v>
      </c>
      <c r="I51" s="2"/>
      <c r="J51" s="7">
        <f t="shared" si="29"/>
        <v>1.1290823383295227E-4</v>
      </c>
      <c r="K51" s="2"/>
      <c r="L51" s="6">
        <f t="shared" si="30"/>
        <v>24</v>
      </c>
      <c r="M51" s="2"/>
      <c r="N51" s="7">
        <f t="shared" si="31"/>
        <v>3</v>
      </c>
      <c r="O51" s="11"/>
      <c r="P51" s="6">
        <v>32</v>
      </c>
      <c r="Q51" s="2"/>
      <c r="R51" s="7">
        <f t="shared" si="32"/>
        <v>6.8564944286697452E-4</v>
      </c>
      <c r="S51" s="2"/>
      <c r="T51" s="6">
        <v>8</v>
      </c>
      <c r="U51" s="2"/>
      <c r="V51" s="7">
        <f t="shared" si="33"/>
        <v>1.1290823383295227E-4</v>
      </c>
      <c r="W51" s="2"/>
      <c r="X51" s="6">
        <f t="shared" si="34"/>
        <v>24</v>
      </c>
      <c r="Y51" s="2"/>
      <c r="Z51" s="7">
        <f t="shared" si="35"/>
        <v>3</v>
      </c>
    </row>
    <row r="52" spans="1:26" s="29" customFormat="1" outlineLevel="1" collapsed="1" x14ac:dyDescent="0.25">
      <c r="A52" s="28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135</v>
      </c>
      <c r="I52" s="1"/>
      <c r="J52" s="5">
        <f t="shared" si="29"/>
        <v>1.9053264459310696E-3</v>
      </c>
      <c r="K52" s="1"/>
      <c r="L52" s="1">
        <f t="shared" si="30"/>
        <v>-135</v>
      </c>
      <c r="M52" s="1"/>
      <c r="N52" s="5">
        <f t="shared" si="31"/>
        <v>-1</v>
      </c>
      <c r="O52" s="14"/>
      <c r="P52" s="1">
        <f>SUM(OSRRefP22_4x_0)</f>
        <v>0</v>
      </c>
      <c r="Q52" s="1"/>
      <c r="R52" s="5">
        <f t="shared" si="32"/>
        <v>0</v>
      </c>
      <c r="S52" s="1"/>
      <c r="T52" s="1">
        <f>SUM(OSRRefT22_4x_0)</f>
        <v>135</v>
      </c>
      <c r="U52" s="1"/>
      <c r="V52" s="5">
        <f t="shared" si="33"/>
        <v>1.9053264459310696E-3</v>
      </c>
      <c r="W52" s="1"/>
      <c r="X52" s="1">
        <f t="shared" si="34"/>
        <v>-135</v>
      </c>
      <c r="Y52" s="1"/>
      <c r="Z52" s="5">
        <f t="shared" si="35"/>
        <v>-1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135</v>
      </c>
      <c r="I53" s="2"/>
      <c r="J53" s="7">
        <f t="shared" si="29"/>
        <v>1.9053264459310696E-3</v>
      </c>
      <c r="K53" s="2"/>
      <c r="L53" s="6">
        <f t="shared" si="30"/>
        <v>-135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135</v>
      </c>
      <c r="U53" s="2"/>
      <c r="V53" s="7">
        <f t="shared" si="33"/>
        <v>1.9053264459310696E-3</v>
      </c>
      <c r="W53" s="2"/>
      <c r="X53" s="6">
        <f t="shared" si="34"/>
        <v>-135</v>
      </c>
      <c r="Y53" s="2"/>
      <c r="Z53" s="7">
        <f t="shared" si="35"/>
        <v>-1</v>
      </c>
    </row>
    <row r="54" spans="1:26" s="29" customFormat="1" outlineLevel="1" collapsed="1" x14ac:dyDescent="0.25">
      <c r="A54" s="28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281.26</v>
      </c>
      <c r="E54" s="1"/>
      <c r="F54" s="5">
        <f t="shared" si="28"/>
        <v>6.0264300718989141E-3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281.26</v>
      </c>
      <c r="M54" s="1"/>
      <c r="N54" s="5">
        <f t="shared" si="31"/>
        <v>0</v>
      </c>
      <c r="O54" s="14"/>
      <c r="P54" s="1">
        <f>SUM(OSRRefP22_5x_0)</f>
        <v>281.26</v>
      </c>
      <c r="Q54" s="1"/>
      <c r="R54" s="5">
        <f t="shared" si="32"/>
        <v>6.0264300718989141E-3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281.26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281.26</v>
      </c>
      <c r="E55" s="2"/>
      <c r="F55" s="7">
        <f t="shared" si="28"/>
        <v>6.0264300718989141E-3</v>
      </c>
      <c r="G55" s="2"/>
      <c r="H55" s="6"/>
      <c r="I55" s="2"/>
      <c r="J55" s="7">
        <f t="shared" si="29"/>
        <v>0</v>
      </c>
      <c r="K55" s="2"/>
      <c r="L55" s="6">
        <f t="shared" si="30"/>
        <v>281.26</v>
      </c>
      <c r="M55" s="2"/>
      <c r="N55" s="7">
        <f t="shared" si="31"/>
        <v>0</v>
      </c>
      <c r="O55" s="11"/>
      <c r="P55" s="6">
        <v>281.26</v>
      </c>
      <c r="Q55" s="2"/>
      <c r="R55" s="7">
        <f t="shared" si="32"/>
        <v>6.0264300718989141E-3</v>
      </c>
      <c r="S55" s="2"/>
      <c r="T55" s="6"/>
      <c r="U55" s="2"/>
      <c r="V55" s="7">
        <f t="shared" si="33"/>
        <v>0</v>
      </c>
      <c r="W55" s="2"/>
      <c r="X55" s="6">
        <f t="shared" si="34"/>
        <v>281.26</v>
      </c>
      <c r="Y55" s="2"/>
      <c r="Z55" s="7">
        <f t="shared" si="35"/>
        <v>0</v>
      </c>
    </row>
    <row r="56" spans="1:26" s="29" customFormat="1" outlineLevel="1" collapsed="1" x14ac:dyDescent="0.25">
      <c r="A56" s="28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2222.02</v>
      </c>
      <c r="E56" s="1"/>
      <c r="F56" s="5">
        <f t="shared" si="28"/>
        <v>4.7610211719977334E-2</v>
      </c>
      <c r="G56" s="1"/>
      <c r="H56" s="1">
        <f>SUM(OSRRefH22_6x_0)</f>
        <v>3100</v>
      </c>
      <c r="I56" s="1"/>
      <c r="J56" s="5">
        <f t="shared" si="29"/>
        <v>4.3751940610269005E-2</v>
      </c>
      <c r="K56" s="1"/>
      <c r="L56" s="1">
        <f t="shared" si="30"/>
        <v>-877.98</v>
      </c>
      <c r="M56" s="1"/>
      <c r="N56" s="5">
        <f t="shared" si="31"/>
        <v>-0.28321935483870969</v>
      </c>
      <c r="O56" s="14"/>
      <c r="P56" s="1">
        <f>SUM(OSRRefP22_6x_0)</f>
        <v>2222.02</v>
      </c>
      <c r="Q56" s="1"/>
      <c r="R56" s="5">
        <f t="shared" si="32"/>
        <v>4.7610211719977334E-2</v>
      </c>
      <c r="S56" s="1"/>
      <c r="T56" s="1">
        <f>SUM(OSRRefT22_6x_0)</f>
        <v>3100</v>
      </c>
      <c r="U56" s="1"/>
      <c r="V56" s="5">
        <f t="shared" si="33"/>
        <v>4.3751940610269005E-2</v>
      </c>
      <c r="W56" s="1"/>
      <c r="X56" s="1">
        <f t="shared" si="34"/>
        <v>-877.98</v>
      </c>
      <c r="Y56" s="1"/>
      <c r="Z56" s="5">
        <f t="shared" si="35"/>
        <v>-0.28321935483870969</v>
      </c>
    </row>
    <row r="57" spans="1:26" s="24" customFormat="1" hidden="1" outlineLevel="2" x14ac:dyDescent="0.25">
      <c r="A57" s="27"/>
      <c r="B57" s="11" t="str">
        <f>CONCATENATE("          ", "6399", " - ", "DONATION-ON CAMPUS")</f>
        <v xml:space="preserve">          6399 - DONATION-ON CAMPUS</v>
      </c>
      <c r="C57" s="11"/>
      <c r="D57" s="6">
        <v>2222.02</v>
      </c>
      <c r="E57" s="2"/>
      <c r="F57" s="7">
        <f t="shared" si="28"/>
        <v>4.7610211719977334E-2</v>
      </c>
      <c r="G57" s="2"/>
      <c r="H57" s="6">
        <v>3100</v>
      </c>
      <c r="I57" s="2"/>
      <c r="J57" s="7">
        <f t="shared" si="29"/>
        <v>4.3751940610269005E-2</v>
      </c>
      <c r="K57" s="2"/>
      <c r="L57" s="6">
        <f t="shared" si="30"/>
        <v>-877.98</v>
      </c>
      <c r="M57" s="2"/>
      <c r="N57" s="7">
        <f t="shared" si="31"/>
        <v>-0.28321935483870969</v>
      </c>
      <c r="O57" s="11"/>
      <c r="P57" s="6">
        <v>2222.02</v>
      </c>
      <c r="Q57" s="2"/>
      <c r="R57" s="7">
        <f t="shared" si="32"/>
        <v>4.7610211719977334E-2</v>
      </c>
      <c r="S57" s="2"/>
      <c r="T57" s="6">
        <v>3100</v>
      </c>
      <c r="U57" s="2"/>
      <c r="V57" s="7">
        <f t="shared" si="33"/>
        <v>4.3751940610269005E-2</v>
      </c>
      <c r="W57" s="2"/>
      <c r="X57" s="6">
        <f t="shared" si="34"/>
        <v>-877.98</v>
      </c>
      <c r="Y57" s="2"/>
      <c r="Z57" s="7">
        <f t="shared" si="35"/>
        <v>-0.28321935483870969</v>
      </c>
    </row>
    <row r="58" spans="1:26" s="29" customFormat="1" outlineLevel="1" collapsed="1" x14ac:dyDescent="0.25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2.1170293843678551E-3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150</v>
      </c>
      <c r="U58" s="1"/>
      <c r="V58" s="5">
        <f t="shared" si="33"/>
        <v>2.1170293843678551E-3</v>
      </c>
      <c r="W58" s="1"/>
      <c r="X58" s="1">
        <f t="shared" si="34"/>
        <v>-150</v>
      </c>
      <c r="Y58" s="1"/>
      <c r="Z58" s="5">
        <f t="shared" si="35"/>
        <v>-1</v>
      </c>
    </row>
    <row r="59" spans="1:26" s="24" customFormat="1" hidden="1" outlineLevel="2" x14ac:dyDescent="0.25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150</v>
      </c>
      <c r="I59" s="2"/>
      <c r="J59" s="7">
        <f t="shared" si="29"/>
        <v>2.1170293843678551E-3</v>
      </c>
      <c r="K59" s="2"/>
      <c r="L59" s="6">
        <f t="shared" si="30"/>
        <v>-150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150</v>
      </c>
      <c r="U59" s="2"/>
      <c r="V59" s="7">
        <f t="shared" si="33"/>
        <v>2.1170293843678551E-3</v>
      </c>
      <c r="W59" s="2"/>
      <c r="X59" s="6">
        <f t="shared" si="34"/>
        <v>-150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342.94</v>
      </c>
      <c r="E60" s="1"/>
      <c r="F60" s="5">
        <f t="shared" si="28"/>
        <v>7.3480193730250075E-3</v>
      </c>
      <c r="G60" s="1"/>
      <c r="H60" s="1">
        <f>SUM(OSRRefH22_8x_0)</f>
        <v>290</v>
      </c>
      <c r="I60" s="1"/>
      <c r="J60" s="5">
        <f t="shared" si="29"/>
        <v>4.0929234764445193E-3</v>
      </c>
      <c r="K60" s="1"/>
      <c r="L60" s="1">
        <f t="shared" si="30"/>
        <v>52.94</v>
      </c>
      <c r="M60" s="1"/>
      <c r="N60" s="5">
        <f t="shared" si="31"/>
        <v>0.18255172413793103</v>
      </c>
      <c r="O60" s="14"/>
      <c r="P60" s="1">
        <f>SUM(OSRRefP22_8x_0)</f>
        <v>550.54</v>
      </c>
      <c r="Q60" s="1"/>
      <c r="R60" s="5">
        <f t="shared" si="32"/>
        <v>1.1796170133624504E-2</v>
      </c>
      <c r="S60" s="1"/>
      <c r="T60" s="1">
        <f>SUM(OSRRefT22_8x_0)</f>
        <v>580</v>
      </c>
      <c r="U60" s="1"/>
      <c r="V60" s="5">
        <f t="shared" si="33"/>
        <v>8.1858469528890386E-3</v>
      </c>
      <c r="W60" s="1"/>
      <c r="X60" s="1">
        <f t="shared" si="34"/>
        <v>-29.460000000000036</v>
      </c>
      <c r="Y60" s="1"/>
      <c r="Z60" s="5">
        <f t="shared" si="35"/>
        <v>-5.0793103448275922E-2</v>
      </c>
    </row>
    <row r="61" spans="1:26" s="24" customFormat="1" hidden="1" outlineLevel="2" x14ac:dyDescent="0.25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342.94</v>
      </c>
      <c r="E61" s="2"/>
      <c r="F61" s="7">
        <f t="shared" si="28"/>
        <v>7.3480193730250075E-3</v>
      </c>
      <c r="G61" s="2"/>
      <c r="H61" s="6">
        <v>290</v>
      </c>
      <c r="I61" s="2"/>
      <c r="J61" s="7">
        <f t="shared" si="29"/>
        <v>4.0929234764445193E-3</v>
      </c>
      <c r="K61" s="2"/>
      <c r="L61" s="6">
        <f t="shared" si="30"/>
        <v>52.94</v>
      </c>
      <c r="M61" s="2"/>
      <c r="N61" s="7">
        <f t="shared" si="31"/>
        <v>0.18255172413793103</v>
      </c>
      <c r="O61" s="11"/>
      <c r="P61" s="6">
        <v>550.54</v>
      </c>
      <c r="Q61" s="2"/>
      <c r="R61" s="7">
        <f t="shared" si="32"/>
        <v>1.1796170133624504E-2</v>
      </c>
      <c r="S61" s="2"/>
      <c r="T61" s="6">
        <v>580</v>
      </c>
      <c r="U61" s="2"/>
      <c r="V61" s="7">
        <f t="shared" si="33"/>
        <v>8.1858469528890386E-3</v>
      </c>
      <c r="W61" s="2"/>
      <c r="X61" s="6">
        <f t="shared" si="34"/>
        <v>-29.460000000000036</v>
      </c>
      <c r="Y61" s="2"/>
      <c r="Z61" s="7">
        <f t="shared" si="35"/>
        <v>-5.0793103448275922E-2</v>
      </c>
    </row>
    <row r="62" spans="1:26" s="29" customFormat="1" outlineLevel="1" collapsed="1" x14ac:dyDescent="0.25">
      <c r="A62" s="28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3.8106528918621391E-3</v>
      </c>
      <c r="K62" s="1"/>
      <c r="L62" s="1">
        <f t="shared" si="30"/>
        <v>-270</v>
      </c>
      <c r="M62" s="1"/>
      <c r="N62" s="5">
        <f t="shared" si="31"/>
        <v>-1</v>
      </c>
      <c r="O62" s="14"/>
      <c r="P62" s="1">
        <f>SUM(OSRRefP22_9x_0)</f>
        <v>1439.55</v>
      </c>
      <c r="Q62" s="1"/>
      <c r="R62" s="5">
        <f t="shared" si="32"/>
        <v>3.0844582983723536E-2</v>
      </c>
      <c r="S62" s="1"/>
      <c r="T62" s="1">
        <f>SUM(OSRRefT22_9x_0)</f>
        <v>2020</v>
      </c>
      <c r="U62" s="1"/>
      <c r="V62" s="5">
        <f t="shared" si="33"/>
        <v>2.8509329042820448E-2</v>
      </c>
      <c r="W62" s="1"/>
      <c r="X62" s="1">
        <f t="shared" si="34"/>
        <v>-580.45000000000005</v>
      </c>
      <c r="Y62" s="1"/>
      <c r="Z62" s="5">
        <f t="shared" si="35"/>
        <v>-0.28735148514851488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270</v>
      </c>
      <c r="I63" s="2"/>
      <c r="J63" s="7">
        <f t="shared" si="29"/>
        <v>3.8106528918621391E-3</v>
      </c>
      <c r="K63" s="2"/>
      <c r="L63" s="6">
        <f t="shared" si="30"/>
        <v>-270</v>
      </c>
      <c r="M63" s="2"/>
      <c r="N63" s="7">
        <f t="shared" si="31"/>
        <v>-1</v>
      </c>
      <c r="O63" s="11"/>
      <c r="P63" s="6">
        <v>1439.55</v>
      </c>
      <c r="Q63" s="2"/>
      <c r="R63" s="7">
        <f t="shared" si="32"/>
        <v>3.0844582983723536E-2</v>
      </c>
      <c r="S63" s="2"/>
      <c r="T63" s="6">
        <v>2020</v>
      </c>
      <c r="U63" s="2"/>
      <c r="V63" s="7">
        <f t="shared" si="33"/>
        <v>2.8509329042820448E-2</v>
      </c>
      <c r="W63" s="2"/>
      <c r="X63" s="6">
        <f t="shared" si="34"/>
        <v>-580.45000000000005</v>
      </c>
      <c r="Y63" s="2"/>
      <c r="Z63" s="7">
        <f t="shared" si="35"/>
        <v>-0.28735148514851488</v>
      </c>
    </row>
    <row r="64" spans="1:26" s="29" customFormat="1" outlineLevel="1" collapsed="1" x14ac:dyDescent="0.25">
      <c r="A64" s="28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3389.81</v>
      </c>
      <c r="E64" s="1"/>
      <c r="F64" s="5">
        <f t="shared" si="28"/>
        <v>7.2631916810153088E-2</v>
      </c>
      <c r="G64" s="1"/>
      <c r="H64" s="1">
        <f>SUM(OSRRefH22_10x_0)</f>
        <v>5668</v>
      </c>
      <c r="I64" s="1"/>
      <c r="J64" s="5">
        <f t="shared" si="29"/>
        <v>7.9995483670646683E-2</v>
      </c>
      <c r="K64" s="1"/>
      <c r="L64" s="1">
        <f t="shared" si="30"/>
        <v>-2278.19</v>
      </c>
      <c r="M64" s="1"/>
      <c r="N64" s="5">
        <f t="shared" si="31"/>
        <v>-0.40193895553987297</v>
      </c>
      <c r="O64" s="14"/>
      <c r="P64" s="1">
        <f>SUM(OSRRefP22_10x_0)</f>
        <v>3389.81</v>
      </c>
      <c r="Q64" s="1"/>
      <c r="R64" s="5">
        <f t="shared" si="32"/>
        <v>7.2631916810153088E-2</v>
      </c>
      <c r="S64" s="1"/>
      <c r="T64" s="1">
        <f>SUM(OSRRefT22_10x_0)</f>
        <v>5668</v>
      </c>
      <c r="U64" s="1"/>
      <c r="V64" s="5">
        <f t="shared" si="33"/>
        <v>7.9995483670646683E-2</v>
      </c>
      <c r="W64" s="1"/>
      <c r="X64" s="1">
        <f t="shared" si="34"/>
        <v>-2278.19</v>
      </c>
      <c r="Y64" s="1"/>
      <c r="Z64" s="5">
        <f t="shared" si="35"/>
        <v>-0.40193895553987297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3389.81</v>
      </c>
      <c r="E65" s="2"/>
      <c r="F65" s="7">
        <f t="shared" si="28"/>
        <v>7.2631916810153088E-2</v>
      </c>
      <c r="G65" s="2"/>
      <c r="H65" s="6">
        <v>5668</v>
      </c>
      <c r="I65" s="2"/>
      <c r="J65" s="7">
        <f t="shared" si="29"/>
        <v>7.9995483670646683E-2</v>
      </c>
      <c r="K65" s="2"/>
      <c r="L65" s="6">
        <f t="shared" si="30"/>
        <v>-2278.19</v>
      </c>
      <c r="M65" s="2"/>
      <c r="N65" s="7">
        <f t="shared" si="31"/>
        <v>-0.40193895553987297</v>
      </c>
      <c r="O65" s="11"/>
      <c r="P65" s="6">
        <v>3389.81</v>
      </c>
      <c r="Q65" s="2"/>
      <c r="R65" s="7">
        <f t="shared" si="32"/>
        <v>7.2631916810153088E-2</v>
      </c>
      <c r="S65" s="2"/>
      <c r="T65" s="6">
        <v>5668</v>
      </c>
      <c r="U65" s="2"/>
      <c r="V65" s="7">
        <f t="shared" si="33"/>
        <v>7.9995483670646683E-2</v>
      </c>
      <c r="W65" s="2"/>
      <c r="X65" s="6">
        <f t="shared" si="34"/>
        <v>-2278.19</v>
      </c>
      <c r="Y65" s="2"/>
      <c r="Z65" s="7">
        <f t="shared" si="35"/>
        <v>-0.40193895553987297</v>
      </c>
    </row>
    <row r="66" spans="1:26" s="29" customFormat="1" outlineLevel="1" collapsed="1" x14ac:dyDescent="0.25">
      <c r="A66" s="28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1388.55</v>
      </c>
      <c r="E66" s="1"/>
      <c r="F66" s="5">
        <f t="shared" si="28"/>
        <v>2.9751829184154296E-2</v>
      </c>
      <c r="G66" s="1"/>
      <c r="H66" s="1">
        <f>SUM(OSRRefH22_11x_0)</f>
        <v>288</v>
      </c>
      <c r="I66" s="1"/>
      <c r="J66" s="5">
        <f t="shared" si="29"/>
        <v>4.0646964179862815E-3</v>
      </c>
      <c r="K66" s="1"/>
      <c r="L66" s="1">
        <f t="shared" si="30"/>
        <v>1100.55</v>
      </c>
      <c r="M66" s="1"/>
      <c r="N66" s="5">
        <f t="shared" si="31"/>
        <v>3.8213541666666666</v>
      </c>
      <c r="O66" s="14"/>
      <c r="P66" s="1">
        <f>SUM(OSRRefP22_11x_0)</f>
        <v>1390.2</v>
      </c>
      <c r="Q66" s="1"/>
      <c r="R66" s="5">
        <f t="shared" si="32"/>
        <v>2.9787182983552127E-2</v>
      </c>
      <c r="S66" s="1"/>
      <c r="T66" s="1">
        <f>SUM(OSRRefT22_11x_0)</f>
        <v>3659</v>
      </c>
      <c r="U66" s="1"/>
      <c r="V66" s="5">
        <f t="shared" si="33"/>
        <v>5.1641403449346542E-2</v>
      </c>
      <c r="W66" s="1"/>
      <c r="X66" s="1">
        <f t="shared" si="34"/>
        <v>-2268.8000000000002</v>
      </c>
      <c r="Y66" s="1"/>
      <c r="Z66" s="5">
        <f t="shared" si="35"/>
        <v>-0.62006012571740921</v>
      </c>
    </row>
    <row r="67" spans="1:26" s="24" customFormat="1" hidden="1" outlineLevel="2" x14ac:dyDescent="0.25">
      <c r="A67" s="27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3083</v>
      </c>
      <c r="U67" s="2"/>
      <c r="V67" s="7">
        <f t="shared" si="33"/>
        <v>4.351201061337398E-2</v>
      </c>
      <c r="W67" s="2"/>
      <c r="X67" s="6">
        <f t="shared" si="34"/>
        <v>-3083</v>
      </c>
      <c r="Y67" s="2"/>
      <c r="Z67" s="7">
        <f t="shared" si="35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1388.55</v>
      </c>
      <c r="E68" s="2"/>
      <c r="F68" s="7">
        <f t="shared" si="28"/>
        <v>2.9751829184154296E-2</v>
      </c>
      <c r="G68" s="2"/>
      <c r="H68" s="6">
        <v>38</v>
      </c>
      <c r="I68" s="2"/>
      <c r="J68" s="7">
        <f t="shared" si="29"/>
        <v>5.3631411070652324E-4</v>
      </c>
      <c r="K68" s="2"/>
      <c r="L68" s="6">
        <f t="shared" si="30"/>
        <v>1350.55</v>
      </c>
      <c r="M68" s="2"/>
      <c r="N68" s="7">
        <f t="shared" si="31"/>
        <v>35.540789473684207</v>
      </c>
      <c r="O68" s="11"/>
      <c r="P68" s="6">
        <v>1390.2</v>
      </c>
      <c r="Q68" s="2"/>
      <c r="R68" s="7">
        <f t="shared" si="32"/>
        <v>2.9787182983552127E-2</v>
      </c>
      <c r="S68" s="2"/>
      <c r="T68" s="6">
        <v>76</v>
      </c>
      <c r="U68" s="2"/>
      <c r="V68" s="7">
        <f t="shared" si="33"/>
        <v>1.0726282214130465E-3</v>
      </c>
      <c r="W68" s="2"/>
      <c r="X68" s="6">
        <f t="shared" si="34"/>
        <v>1314.2</v>
      </c>
      <c r="Y68" s="2"/>
      <c r="Z68" s="7">
        <f t="shared" si="35"/>
        <v>17.292105263157897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250</v>
      </c>
      <c r="I69" s="2"/>
      <c r="J69" s="7">
        <f t="shared" si="29"/>
        <v>3.5283823072797585E-3</v>
      </c>
      <c r="K69" s="2"/>
      <c r="L69" s="6">
        <f t="shared" si="30"/>
        <v>-250</v>
      </c>
      <c r="M69" s="2"/>
      <c r="N69" s="7">
        <f t="shared" si="31"/>
        <v>-1</v>
      </c>
      <c r="O69" s="11"/>
      <c r="P69" s="6"/>
      <c r="Q69" s="2"/>
      <c r="R69" s="7">
        <f t="shared" si="32"/>
        <v>0</v>
      </c>
      <c r="S69" s="2"/>
      <c r="T69" s="6">
        <v>500</v>
      </c>
      <c r="U69" s="2"/>
      <c r="V69" s="7">
        <f t="shared" si="33"/>
        <v>7.0567646145595171E-3</v>
      </c>
      <c r="W69" s="2"/>
      <c r="X69" s="6">
        <f t="shared" si="34"/>
        <v>-500</v>
      </c>
      <c r="Y69" s="2"/>
      <c r="Z69" s="7">
        <f t="shared" si="35"/>
        <v>-1</v>
      </c>
    </row>
    <row r="70" spans="1:26" s="29" customFormat="1" outlineLevel="1" collapsed="1" x14ac:dyDescent="0.25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1326.74</v>
      </c>
      <c r="E70" s="1"/>
      <c r="F70" s="5">
        <f t="shared" ref="F70:F73" si="36">IF(D$12=0,0,D70/D$12)</f>
        <v>2.8427454432166557E-2</v>
      </c>
      <c r="G70" s="1"/>
      <c r="H70" s="1">
        <f>SUM(OSRRefH22_12x_0)</f>
        <v>6221</v>
      </c>
      <c r="I70" s="1"/>
      <c r="J70" s="5">
        <f t="shared" ref="J70:J73" si="37">IF(H$12=0,0,H70/H$12)</f>
        <v>8.7800265334349509E-2</v>
      </c>
      <c r="K70" s="1"/>
      <c r="L70" s="1">
        <f t="shared" ref="L70:L73" si="38">+D70-H70</f>
        <v>-4894.26</v>
      </c>
      <c r="M70" s="1"/>
      <c r="N70" s="5">
        <f t="shared" ref="N70:N73" si="39">IF(H70=0,0,L70/H70)</f>
        <v>-0.78673203665005631</v>
      </c>
      <c r="O70" s="14"/>
      <c r="P70" s="1">
        <f>SUM(OSRRefP22_12x_0)</f>
        <v>1901.62</v>
      </c>
      <c r="Q70" s="1"/>
      <c r="R70" s="5">
        <f t="shared" ref="R70:R73" si="40">IF(P$12=0,0,P70/P$12)</f>
        <v>4.0745146673271754E-2</v>
      </c>
      <c r="S70" s="1"/>
      <c r="T70" s="1">
        <f>SUM(OSRRefT22_12x_0)</f>
        <v>12442</v>
      </c>
      <c r="U70" s="1"/>
      <c r="V70" s="5">
        <f t="shared" ref="V70:V73" si="41">IF(T$12=0,0,T70/T$12)</f>
        <v>0.17560053066869902</v>
      </c>
      <c r="W70" s="1"/>
      <c r="X70" s="1">
        <f t="shared" ref="X70:X73" si="42">+P70-T70</f>
        <v>-10540.380000000001</v>
      </c>
      <c r="Y70" s="1"/>
      <c r="Z70" s="5">
        <f t="shared" ref="Z70:Z73" si="43">IF(T70=0,0,X70/T70)</f>
        <v>-0.84716122809837657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6"/>
        <v>9.0278605080490945E-3</v>
      </c>
      <c r="G71" s="2"/>
      <c r="H71" s="6">
        <v>450</v>
      </c>
      <c r="I71" s="2"/>
      <c r="J71" s="7">
        <f t="shared" si="37"/>
        <v>6.3510881531035649E-3</v>
      </c>
      <c r="K71" s="2"/>
      <c r="L71" s="6">
        <f t="shared" si="38"/>
        <v>-28.660000000000025</v>
      </c>
      <c r="M71" s="2"/>
      <c r="N71" s="7">
        <f t="shared" si="39"/>
        <v>-6.3688888888888948E-2</v>
      </c>
      <c r="O71" s="11"/>
      <c r="P71" s="6">
        <v>842.68</v>
      </c>
      <c r="Q71" s="2"/>
      <c r="R71" s="7">
        <f t="shared" si="40"/>
        <v>1.8055721016098189E-2</v>
      </c>
      <c r="S71" s="2"/>
      <c r="T71" s="6">
        <v>900</v>
      </c>
      <c r="U71" s="2"/>
      <c r="V71" s="7">
        <f t="shared" si="41"/>
        <v>1.270217630620713E-2</v>
      </c>
      <c r="W71" s="2"/>
      <c r="X71" s="6">
        <f t="shared" si="42"/>
        <v>-57.32000000000005</v>
      </c>
      <c r="Y71" s="2"/>
      <c r="Z71" s="7">
        <f t="shared" si="43"/>
        <v>-6.3688888888888948E-2</v>
      </c>
    </row>
    <row r="72" spans="1:26" s="24" customFormat="1" hidden="1" outlineLevel="2" x14ac:dyDescent="0.25">
      <c r="A72" s="27"/>
      <c r="B72" s="11" t="str">
        <f>CONCATENATE("          ", "6285", " - ", "JANITORIAL SERVICES")</f>
        <v xml:space="preserve">          6285 - JANITORIAL SERVICES</v>
      </c>
      <c r="C72" s="11"/>
      <c r="D72" s="6"/>
      <c r="E72" s="2"/>
      <c r="F72" s="7">
        <f t="shared" si="36"/>
        <v>0</v>
      </c>
      <c r="G72" s="2"/>
      <c r="H72" s="6">
        <v>4271</v>
      </c>
      <c r="I72" s="2"/>
      <c r="J72" s="7">
        <f t="shared" si="37"/>
        <v>6.0278883337567389E-2</v>
      </c>
      <c r="K72" s="2"/>
      <c r="L72" s="6">
        <f t="shared" si="38"/>
        <v>-4271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8542</v>
      </c>
      <c r="U72" s="2"/>
      <c r="V72" s="7">
        <f t="shared" si="41"/>
        <v>0.12055776667513478</v>
      </c>
      <c r="W72" s="2"/>
      <c r="X72" s="6">
        <f t="shared" si="42"/>
        <v>-8542</v>
      </c>
      <c r="Y72" s="2"/>
      <c r="Z72" s="7">
        <f t="shared" si="43"/>
        <v>-1</v>
      </c>
    </row>
    <row r="73" spans="1:26" s="24" customFormat="1" hidden="1" outlineLevel="2" x14ac:dyDescent="0.25">
      <c r="A73" s="27"/>
      <c r="B73" s="11" t="str">
        <f>CONCATENATE("          ", "6286", " - ", "LAUNDRY EXPENSE")</f>
        <v xml:space="preserve">          6286 - LAUNDRY EXPENSE</v>
      </c>
      <c r="C73" s="11"/>
      <c r="D73" s="6">
        <v>905.4</v>
      </c>
      <c r="E73" s="2"/>
      <c r="F73" s="7">
        <f t="shared" si="36"/>
        <v>1.9399593924117459E-2</v>
      </c>
      <c r="G73" s="2"/>
      <c r="H73" s="6">
        <v>1500</v>
      </c>
      <c r="I73" s="2"/>
      <c r="J73" s="7">
        <f t="shared" si="37"/>
        <v>2.117029384367855E-2</v>
      </c>
      <c r="K73" s="2"/>
      <c r="L73" s="6">
        <f t="shared" si="38"/>
        <v>-594.6</v>
      </c>
      <c r="M73" s="2"/>
      <c r="N73" s="7">
        <f t="shared" si="39"/>
        <v>-0.39640000000000003</v>
      </c>
      <c r="O73" s="11"/>
      <c r="P73" s="6">
        <v>1058.94</v>
      </c>
      <c r="Q73" s="2"/>
      <c r="R73" s="7">
        <f t="shared" si="40"/>
        <v>2.2689425657173565E-2</v>
      </c>
      <c r="S73" s="2"/>
      <c r="T73" s="6">
        <v>3000</v>
      </c>
      <c r="U73" s="2"/>
      <c r="V73" s="7">
        <f t="shared" si="41"/>
        <v>4.2340587687357101E-2</v>
      </c>
      <c r="W73" s="2"/>
      <c r="X73" s="6">
        <f t="shared" si="42"/>
        <v>-1941.06</v>
      </c>
      <c r="Y73" s="2"/>
      <c r="Z73" s="7">
        <f t="shared" si="43"/>
        <v>-0.64701999999999993</v>
      </c>
    </row>
    <row r="74" spans="1:26" s="29" customFormat="1" outlineLevel="1" collapsed="1" x14ac:dyDescent="0.25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14652.13</v>
      </c>
      <c r="E74" s="1"/>
      <c r="F74" s="5">
        <f t="shared" ref="F74:F83" si="44">IF(D$12=0,0,D74/D$12)</f>
        <v>0.31394452410357759</v>
      </c>
      <c r="G74" s="1"/>
      <c r="H74" s="1">
        <f>SUM(OSRRefH22_13x_0)</f>
        <v>8518</v>
      </c>
      <c r="I74" s="1"/>
      <c r="J74" s="5">
        <f t="shared" ref="J74:J83" si="45">IF(H$12=0,0,H74/H$12)</f>
        <v>0.12021904197363592</v>
      </c>
      <c r="K74" s="1"/>
      <c r="L74" s="1">
        <f t="shared" ref="L74:L83" si="46">+D74-H74</f>
        <v>6134.1299999999992</v>
      </c>
      <c r="M74" s="1"/>
      <c r="N74" s="5">
        <f t="shared" ref="N74:N83" si="47">IF(H74=0,0,L74/H74)</f>
        <v>0.72013735618689823</v>
      </c>
      <c r="O74" s="14"/>
      <c r="P74" s="1">
        <f>SUM(OSRRefP22_13x_0)</f>
        <v>14652.13</v>
      </c>
      <c r="Q74" s="1"/>
      <c r="R74" s="5">
        <f t="shared" ref="R74:R83" si="48">IF(P$12=0,0,P74/P$12)</f>
        <v>0.31394452410357759</v>
      </c>
      <c r="S74" s="1"/>
      <c r="T74" s="1">
        <f>SUM(OSRRefT22_13x_0)</f>
        <v>9098</v>
      </c>
      <c r="U74" s="1"/>
      <c r="V74" s="5">
        <f t="shared" ref="V74:V83" si="49">IF(T$12=0,0,T74/T$12)</f>
        <v>0.12840488892652496</v>
      </c>
      <c r="W74" s="1"/>
      <c r="X74" s="1">
        <f t="shared" ref="X74:X83" si="50">+P74-T74</f>
        <v>5554.1299999999992</v>
      </c>
      <c r="Y74" s="1"/>
      <c r="Z74" s="5">
        <f t="shared" ref="Z74:Z83" si="51">IF(T74=0,0,X74/T74)</f>
        <v>0.61047812706089244</v>
      </c>
    </row>
    <row r="75" spans="1:26" s="24" customFormat="1" hidden="1" outlineLevel="2" x14ac:dyDescent="0.25">
      <c r="A75" s="27"/>
      <c r="B75" s="11" t="str">
        <f>CONCATENATE("          ", "6235", " - ", "COVID-19 EXPENSES")</f>
        <v xml:space="preserve">          6235 - COVID-19 EXPENSES</v>
      </c>
      <c r="C75" s="11"/>
      <c r="D75" s="6">
        <v>7625.15</v>
      </c>
      <c r="E75" s="2"/>
      <c r="F75" s="7">
        <f t="shared" si="44"/>
        <v>0.16338062028990971</v>
      </c>
      <c r="G75" s="2"/>
      <c r="H75" s="6">
        <v>4000</v>
      </c>
      <c r="I75" s="2"/>
      <c r="J75" s="7">
        <f t="shared" si="45"/>
        <v>5.6454116916476137E-2</v>
      </c>
      <c r="K75" s="2"/>
      <c r="L75" s="6">
        <f t="shared" si="46"/>
        <v>3625.1499999999996</v>
      </c>
      <c r="M75" s="2"/>
      <c r="N75" s="7">
        <f t="shared" si="47"/>
        <v>0.90628749999999991</v>
      </c>
      <c r="O75" s="11"/>
      <c r="P75" s="6">
        <v>7625.15</v>
      </c>
      <c r="Q75" s="2"/>
      <c r="R75" s="7">
        <f t="shared" si="48"/>
        <v>0.16338062028990971</v>
      </c>
      <c r="S75" s="2"/>
      <c r="T75" s="6">
        <v>4000</v>
      </c>
      <c r="U75" s="2"/>
      <c r="V75" s="7">
        <f t="shared" si="49"/>
        <v>5.6454116916476137E-2</v>
      </c>
      <c r="W75" s="2"/>
      <c r="X75" s="6">
        <f t="shared" si="50"/>
        <v>3625.1499999999996</v>
      </c>
      <c r="Y75" s="2"/>
      <c r="Z75" s="7">
        <f t="shared" si="51"/>
        <v>0.90628749999999991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1416.91</v>
      </c>
      <c r="E76" s="2"/>
      <c r="F76" s="7">
        <f t="shared" si="44"/>
        <v>3.0359486002895154E-2</v>
      </c>
      <c r="G76" s="2"/>
      <c r="H76" s="6">
        <v>3000</v>
      </c>
      <c r="I76" s="2"/>
      <c r="J76" s="7">
        <f t="shared" si="45"/>
        <v>4.2340587687357101E-2</v>
      </c>
      <c r="K76" s="2"/>
      <c r="L76" s="6">
        <f t="shared" si="46"/>
        <v>-1583.09</v>
      </c>
      <c r="M76" s="2"/>
      <c r="N76" s="7">
        <f t="shared" si="47"/>
        <v>-0.52769666666666659</v>
      </c>
      <c r="O76" s="11"/>
      <c r="P76" s="6">
        <v>1416.91</v>
      </c>
      <c r="Q76" s="2"/>
      <c r="R76" s="7">
        <f t="shared" si="48"/>
        <v>3.0359486002895154E-2</v>
      </c>
      <c r="S76" s="2"/>
      <c r="T76" s="6">
        <v>3000</v>
      </c>
      <c r="U76" s="2"/>
      <c r="V76" s="7">
        <f t="shared" si="49"/>
        <v>4.2340587687357101E-2</v>
      </c>
      <c r="W76" s="2"/>
      <c r="X76" s="6">
        <f t="shared" si="50"/>
        <v>-1583.09</v>
      </c>
      <c r="Y76" s="2"/>
      <c r="Z76" s="7">
        <f t="shared" si="51"/>
        <v>-0.52769666666666659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1343.24</v>
      </c>
      <c r="E77" s="2"/>
      <c r="F77" s="7">
        <f t="shared" si="44"/>
        <v>2.878099242614484E-2</v>
      </c>
      <c r="G77" s="2"/>
      <c r="H77" s="6">
        <v>500</v>
      </c>
      <c r="I77" s="2"/>
      <c r="J77" s="7">
        <f t="shared" si="45"/>
        <v>7.0567646145595171E-3</v>
      </c>
      <c r="K77" s="2"/>
      <c r="L77" s="6">
        <f t="shared" si="46"/>
        <v>843.24</v>
      </c>
      <c r="M77" s="2"/>
      <c r="N77" s="7">
        <f t="shared" si="47"/>
        <v>1.68648</v>
      </c>
      <c r="O77" s="11"/>
      <c r="P77" s="6">
        <v>1343.24</v>
      </c>
      <c r="Q77" s="2"/>
      <c r="R77" s="7">
        <f t="shared" si="48"/>
        <v>2.878099242614484E-2</v>
      </c>
      <c r="S77" s="2"/>
      <c r="T77" s="6">
        <v>500</v>
      </c>
      <c r="U77" s="2"/>
      <c r="V77" s="7">
        <f t="shared" si="49"/>
        <v>7.0567646145595171E-3</v>
      </c>
      <c r="W77" s="2"/>
      <c r="X77" s="6">
        <f t="shared" si="50"/>
        <v>843.24</v>
      </c>
      <c r="Y77" s="2"/>
      <c r="Z77" s="7">
        <f t="shared" si="51"/>
        <v>1.68648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105.23</v>
      </c>
      <c r="E78" s="2"/>
      <c r="F78" s="7">
        <f t="shared" si="44"/>
        <v>2.2547153397778669E-3</v>
      </c>
      <c r="G78" s="2"/>
      <c r="H78" s="6">
        <v>150</v>
      </c>
      <c r="I78" s="2"/>
      <c r="J78" s="7">
        <f t="shared" si="45"/>
        <v>2.1170293843678551E-3</v>
      </c>
      <c r="K78" s="2"/>
      <c r="L78" s="6">
        <f t="shared" si="46"/>
        <v>-44.769999999999996</v>
      </c>
      <c r="M78" s="2"/>
      <c r="N78" s="7">
        <f t="shared" si="47"/>
        <v>-0.29846666666666666</v>
      </c>
      <c r="O78" s="11"/>
      <c r="P78" s="6">
        <v>105.23</v>
      </c>
      <c r="Q78" s="2"/>
      <c r="R78" s="7">
        <f t="shared" si="48"/>
        <v>2.2547153397778669E-3</v>
      </c>
      <c r="S78" s="2"/>
      <c r="T78" s="6">
        <v>300</v>
      </c>
      <c r="U78" s="2"/>
      <c r="V78" s="7">
        <f t="shared" si="49"/>
        <v>4.2340587687357103E-3</v>
      </c>
      <c r="W78" s="2"/>
      <c r="X78" s="6">
        <f t="shared" si="50"/>
        <v>-194.76999999999998</v>
      </c>
      <c r="Y78" s="2"/>
      <c r="Z78" s="7">
        <f t="shared" si="51"/>
        <v>-0.64923333333333322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650.62</v>
      </c>
      <c r="E79" s="2"/>
      <c r="F79" s="7">
        <f t="shared" si="44"/>
        <v>1.3940538766190969E-2</v>
      </c>
      <c r="G79" s="2"/>
      <c r="H79" s="6"/>
      <c r="I79" s="2"/>
      <c r="J79" s="7">
        <f t="shared" si="45"/>
        <v>0</v>
      </c>
      <c r="K79" s="2"/>
      <c r="L79" s="6">
        <f t="shared" si="46"/>
        <v>650.62</v>
      </c>
      <c r="M79" s="2"/>
      <c r="N79" s="7">
        <f t="shared" si="47"/>
        <v>0</v>
      </c>
      <c r="O79" s="11"/>
      <c r="P79" s="6">
        <v>650.62</v>
      </c>
      <c r="Q79" s="2"/>
      <c r="R79" s="7">
        <f t="shared" si="48"/>
        <v>1.3940538766190969E-2</v>
      </c>
      <c r="S79" s="2"/>
      <c r="T79" s="6"/>
      <c r="U79" s="2"/>
      <c r="V79" s="7">
        <f t="shared" si="49"/>
        <v>0</v>
      </c>
      <c r="W79" s="2"/>
      <c r="X79" s="6">
        <f t="shared" si="50"/>
        <v>650.62</v>
      </c>
      <c r="Y79" s="2"/>
      <c r="Z79" s="7">
        <f t="shared" si="51"/>
        <v>0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>
        <v>0</v>
      </c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/>
      <c r="Q80" s="2"/>
      <c r="R80" s="7">
        <f t="shared" si="48"/>
        <v>0</v>
      </c>
      <c r="S80" s="2"/>
      <c r="T80" s="6">
        <v>80</v>
      </c>
      <c r="U80" s="2"/>
      <c r="V80" s="7">
        <f t="shared" si="49"/>
        <v>1.1290823383295226E-3</v>
      </c>
      <c r="W80" s="2"/>
      <c r="X80" s="6">
        <f t="shared" si="50"/>
        <v>-80</v>
      </c>
      <c r="Y80" s="2"/>
      <c r="Z80" s="7">
        <f t="shared" si="51"/>
        <v>-1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>
        <v>500</v>
      </c>
      <c r="I81" s="2"/>
      <c r="J81" s="7">
        <f t="shared" si="45"/>
        <v>7.0567646145595171E-3</v>
      </c>
      <c r="K81" s="2"/>
      <c r="L81" s="6">
        <f t="shared" si="46"/>
        <v>-500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500</v>
      </c>
      <c r="U81" s="2"/>
      <c r="V81" s="7">
        <f t="shared" si="49"/>
        <v>7.0567646145595171E-3</v>
      </c>
      <c r="W81" s="2"/>
      <c r="X81" s="6">
        <f t="shared" si="50"/>
        <v>-500</v>
      </c>
      <c r="Y81" s="2"/>
      <c r="Z81" s="7">
        <f t="shared" si="51"/>
        <v>-1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>
        <v>18</v>
      </c>
      <c r="I82" s="2"/>
      <c r="J82" s="7">
        <f t="shared" si="45"/>
        <v>2.5404352612414259E-4</v>
      </c>
      <c r="K82" s="2"/>
      <c r="L82" s="6">
        <f t="shared" si="46"/>
        <v>-18</v>
      </c>
      <c r="M82" s="2"/>
      <c r="N82" s="7">
        <f t="shared" si="47"/>
        <v>-1</v>
      </c>
      <c r="O82" s="11"/>
      <c r="P82" s="6"/>
      <c r="Q82" s="2"/>
      <c r="R82" s="7">
        <f t="shared" si="48"/>
        <v>0</v>
      </c>
      <c r="S82" s="2"/>
      <c r="T82" s="6">
        <v>18</v>
      </c>
      <c r="U82" s="2"/>
      <c r="V82" s="7">
        <f t="shared" si="49"/>
        <v>2.5404352612414259E-4</v>
      </c>
      <c r="W82" s="2"/>
      <c r="X82" s="6">
        <f t="shared" si="50"/>
        <v>-18</v>
      </c>
      <c r="Y82" s="2"/>
      <c r="Z82" s="7">
        <f t="shared" si="51"/>
        <v>-1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>
        <v>3510.98</v>
      </c>
      <c r="E83" s="2"/>
      <c r="F83" s="7">
        <f t="shared" si="44"/>
        <v>7.5228171278659078E-2</v>
      </c>
      <c r="G83" s="2"/>
      <c r="H83" s="6">
        <v>350</v>
      </c>
      <c r="I83" s="2"/>
      <c r="J83" s="7">
        <f t="shared" si="45"/>
        <v>4.9397352301916615E-3</v>
      </c>
      <c r="K83" s="2"/>
      <c r="L83" s="6">
        <f t="shared" si="46"/>
        <v>3160.98</v>
      </c>
      <c r="M83" s="2"/>
      <c r="N83" s="7">
        <f t="shared" si="47"/>
        <v>9.031371428571429</v>
      </c>
      <c r="O83" s="11"/>
      <c r="P83" s="6">
        <v>3510.98</v>
      </c>
      <c r="Q83" s="2"/>
      <c r="R83" s="7">
        <f t="shared" si="48"/>
        <v>7.5228171278659078E-2</v>
      </c>
      <c r="S83" s="2"/>
      <c r="T83" s="6">
        <v>700</v>
      </c>
      <c r="U83" s="2"/>
      <c r="V83" s="7">
        <f t="shared" si="49"/>
        <v>9.879470460383323E-3</v>
      </c>
      <c r="W83" s="2"/>
      <c r="X83" s="6">
        <f t="shared" si="50"/>
        <v>2810.98</v>
      </c>
      <c r="Y83" s="2"/>
      <c r="Z83" s="7">
        <f t="shared" si="51"/>
        <v>4.0156857142857145</v>
      </c>
    </row>
    <row r="84" spans="1:26" s="29" customFormat="1" outlineLevel="1" collapsed="1" x14ac:dyDescent="0.25">
      <c r="A84" s="28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259</v>
      </c>
      <c r="E84" s="1"/>
      <c r="F84" s="5">
        <f t="shared" ref="F84:F86" si="52">IF(D$12=0,0,D84/D$12)</f>
        <v>5.5494751782045751E-3</v>
      </c>
      <c r="G84" s="1"/>
      <c r="H84" s="1">
        <f>SUM(OSRRefH22_14x_0)</f>
        <v>310</v>
      </c>
      <c r="I84" s="1"/>
      <c r="J84" s="5">
        <f t="shared" ref="J84:J86" si="53">IF(H$12=0,0,H84/H$12)</f>
        <v>4.3751940610269003E-3</v>
      </c>
      <c r="K84" s="1"/>
      <c r="L84" s="1">
        <f t="shared" ref="L84:L86" si="54">+D84-H84</f>
        <v>-51</v>
      </c>
      <c r="M84" s="1"/>
      <c r="N84" s="5">
        <f t="shared" ref="N84:N86" si="55">IF(H84=0,0,L84/H84)</f>
        <v>-0.16451612903225807</v>
      </c>
      <c r="O84" s="14"/>
      <c r="P84" s="1">
        <f>SUM(OSRRefP22_14x_0)</f>
        <v>518</v>
      </c>
      <c r="Q84" s="1"/>
      <c r="R84" s="5">
        <f t="shared" ref="R84:R86" si="56">IF(P$12=0,0,P84/P$12)</f>
        <v>1.109895035640915E-2</v>
      </c>
      <c r="S84" s="1"/>
      <c r="T84" s="1">
        <f>SUM(OSRRefT22_14x_0)</f>
        <v>620</v>
      </c>
      <c r="U84" s="1"/>
      <c r="V84" s="5">
        <f t="shared" ref="V84:V86" si="57">IF(T$12=0,0,T84/T$12)</f>
        <v>8.7503881220538007E-3</v>
      </c>
      <c r="W84" s="1"/>
      <c r="X84" s="1">
        <f t="shared" ref="X84:X86" si="58">+P84-T84</f>
        <v>-102</v>
      </c>
      <c r="Y84" s="1"/>
      <c r="Z84" s="5">
        <f t="shared" ref="Z84:Z86" si="59">IF(T84=0,0,X84/T84)</f>
        <v>-0.16451612903225807</v>
      </c>
    </row>
    <row r="85" spans="1:26" s="24" customFormat="1" hidden="1" outlineLevel="2" x14ac:dyDescent="0.25">
      <c r="A85" s="27"/>
      <c r="B85" s="11" t="str">
        <f>CONCATENATE("          ", "6303", " - ", "DATA PHONE LINES")</f>
        <v xml:space="preserve">          6303 - DATA PHONE LINES</v>
      </c>
      <c r="C85" s="11"/>
      <c r="D85" s="6"/>
      <c r="E85" s="2"/>
      <c r="F85" s="7">
        <f t="shared" si="52"/>
        <v>0</v>
      </c>
      <c r="G85" s="2"/>
      <c r="H85" s="6">
        <v>310</v>
      </c>
      <c r="I85" s="2"/>
      <c r="J85" s="7">
        <f t="shared" si="53"/>
        <v>4.3751940610269003E-3</v>
      </c>
      <c r="K85" s="2"/>
      <c r="L85" s="6">
        <f t="shared" si="54"/>
        <v>-310</v>
      </c>
      <c r="M85" s="2"/>
      <c r="N85" s="7">
        <f t="shared" si="55"/>
        <v>-1</v>
      </c>
      <c r="O85" s="11"/>
      <c r="P85" s="6"/>
      <c r="Q85" s="2"/>
      <c r="R85" s="7">
        <f t="shared" si="56"/>
        <v>0</v>
      </c>
      <c r="S85" s="2"/>
      <c r="T85" s="6">
        <v>620</v>
      </c>
      <c r="U85" s="2"/>
      <c r="V85" s="7">
        <f t="shared" si="57"/>
        <v>8.7503881220538007E-3</v>
      </c>
      <c r="W85" s="2"/>
      <c r="X85" s="6">
        <f t="shared" si="58"/>
        <v>-620</v>
      </c>
      <c r="Y85" s="2"/>
      <c r="Z85" s="7">
        <f t="shared" si="59"/>
        <v>-1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259</v>
      </c>
      <c r="E86" s="2"/>
      <c r="F86" s="7">
        <f t="shared" si="52"/>
        <v>5.5494751782045751E-3</v>
      </c>
      <c r="G86" s="2"/>
      <c r="H86" s="6"/>
      <c r="I86" s="2"/>
      <c r="J86" s="7">
        <f t="shared" si="53"/>
        <v>0</v>
      </c>
      <c r="K86" s="2"/>
      <c r="L86" s="6">
        <f t="shared" si="54"/>
        <v>259</v>
      </c>
      <c r="M86" s="2"/>
      <c r="N86" s="7">
        <f t="shared" si="55"/>
        <v>0</v>
      </c>
      <c r="O86" s="11"/>
      <c r="P86" s="6">
        <v>518</v>
      </c>
      <c r="Q86" s="2"/>
      <c r="R86" s="7">
        <f t="shared" si="56"/>
        <v>1.109895035640915E-2</v>
      </c>
      <c r="S86" s="2"/>
      <c r="T86" s="6"/>
      <c r="U86" s="2"/>
      <c r="V86" s="7">
        <f t="shared" si="57"/>
        <v>0</v>
      </c>
      <c r="W86" s="2"/>
      <c r="X86" s="6">
        <f t="shared" si="58"/>
        <v>518</v>
      </c>
      <c r="Y86" s="2"/>
      <c r="Z86" s="7">
        <f t="shared" si="59"/>
        <v>0</v>
      </c>
    </row>
    <row r="87" spans="1:26" s="29" customFormat="1" outlineLevel="1" collapsed="1" x14ac:dyDescent="0.25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SUM(OSRRefD22_15x_0)</f>
        <v>350</v>
      </c>
      <c r="E87" s="1"/>
      <c r="F87" s="5">
        <f t="shared" ref="F87:F88" si="60">IF(D$12=0,0,D87/D$12)</f>
        <v>7.4992907813575338E-3</v>
      </c>
      <c r="G87" s="1"/>
      <c r="H87" s="1">
        <f>SUM(OSRRefH22_15x_0)</f>
        <v>350</v>
      </c>
      <c r="I87" s="1"/>
      <c r="J87" s="5">
        <f t="shared" ref="J87:J88" si="61">IF(H$12=0,0,H87/H$12)</f>
        <v>4.9397352301916615E-3</v>
      </c>
      <c r="K87" s="1"/>
      <c r="L87" s="1">
        <f t="shared" ref="L87:L88" si="62">+D87-H87</f>
        <v>0</v>
      </c>
      <c r="M87" s="1"/>
      <c r="N87" s="5">
        <f t="shared" ref="N87:N88" si="63">IF(H87=0,0,L87/H87)</f>
        <v>0</v>
      </c>
      <c r="O87" s="14"/>
      <c r="P87" s="1">
        <f>SUM(OSRRefP22_15x_0)</f>
        <v>350</v>
      </c>
      <c r="Q87" s="1"/>
      <c r="R87" s="5">
        <f t="shared" ref="R87:R88" si="64">IF(P$12=0,0,P87/P$12)</f>
        <v>7.4992907813575338E-3</v>
      </c>
      <c r="S87" s="1"/>
      <c r="T87" s="1">
        <f>SUM(OSRRefT22_15x_0)</f>
        <v>350</v>
      </c>
      <c r="U87" s="1"/>
      <c r="V87" s="5">
        <f t="shared" ref="V87:V88" si="65">IF(T$12=0,0,T87/T$12)</f>
        <v>4.9397352301916615E-3</v>
      </c>
      <c r="W87" s="1"/>
      <c r="X87" s="1">
        <f t="shared" ref="X87:X88" si="66">+P87-T87</f>
        <v>0</v>
      </c>
      <c r="Y87" s="1"/>
      <c r="Z87" s="5">
        <f t="shared" ref="Z87:Z88" si="67">IF(T87=0,0,X87/T87)</f>
        <v>0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>
        <v>350</v>
      </c>
      <c r="E88" s="2"/>
      <c r="F88" s="7">
        <f t="shared" si="60"/>
        <v>7.4992907813575338E-3</v>
      </c>
      <c r="G88" s="2"/>
      <c r="H88" s="6">
        <v>350</v>
      </c>
      <c r="I88" s="2"/>
      <c r="J88" s="7">
        <f t="shared" si="61"/>
        <v>4.9397352301916615E-3</v>
      </c>
      <c r="K88" s="2"/>
      <c r="L88" s="6">
        <f t="shared" si="62"/>
        <v>0</v>
      </c>
      <c r="M88" s="2"/>
      <c r="N88" s="7">
        <f t="shared" si="63"/>
        <v>0</v>
      </c>
      <c r="O88" s="11"/>
      <c r="P88" s="6">
        <v>350</v>
      </c>
      <c r="Q88" s="2"/>
      <c r="R88" s="7">
        <f t="shared" si="64"/>
        <v>7.4992907813575338E-3</v>
      </c>
      <c r="S88" s="2"/>
      <c r="T88" s="6">
        <v>350</v>
      </c>
      <c r="U88" s="2"/>
      <c r="V88" s="7">
        <f t="shared" si="65"/>
        <v>4.9397352301916615E-3</v>
      </c>
      <c r="W88" s="2"/>
      <c r="X88" s="6">
        <f t="shared" si="66"/>
        <v>0</v>
      </c>
      <c r="Y88" s="2"/>
      <c r="Z88" s="7">
        <f t="shared" si="67"/>
        <v>0</v>
      </c>
    </row>
    <row r="89" spans="1:26" s="61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2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2" customFormat="1" x14ac:dyDescent="0.25">
      <c r="A92" s="10"/>
      <c r="B92" s="26" t="s">
        <v>3</v>
      </c>
      <c r="C92" s="26"/>
      <c r="D92" s="21">
        <f>+D23-D25+D90</f>
        <v>-80866.709999999977</v>
      </c>
      <c r="E92" s="13"/>
      <c r="F92" s="20">
        <f>IF(D$12=0,0,D92/D$12)</f>
        <v>-1.7326942080620371</v>
      </c>
      <c r="G92" s="13"/>
      <c r="H92" s="21">
        <f>+H23-H25+H90</f>
        <v>-71331.016423769295</v>
      </c>
      <c r="I92" s="13"/>
      <c r="J92" s="20">
        <f>IF(H$12=0,0,H92/H$12)</f>
        <v>-1.0067323852396377</v>
      </c>
      <c r="K92" s="16"/>
      <c r="L92" s="21">
        <f>+D92-H92</f>
        <v>-9535.6935762306821</v>
      </c>
      <c r="M92" s="16"/>
      <c r="N92" s="20">
        <f>IF(H92=0,0,L92/H92)</f>
        <v>0.13368228933652412</v>
      </c>
      <c r="O92" s="25"/>
      <c r="P92" s="21">
        <f>+P23-P25+P90</f>
        <v>-145419.55000000002</v>
      </c>
      <c r="Q92" s="13"/>
      <c r="R92" s="20">
        <f>IF(P$12=0,0,P92/P$12)</f>
        <v>-3.1158385449833177</v>
      </c>
      <c r="S92" s="13"/>
      <c r="T92" s="21">
        <f>+T23-T25+T90</f>
        <v>-168760.12030473084</v>
      </c>
      <c r="U92" s="13"/>
      <c r="V92" s="20">
        <f>IF(T$12=0,0,T92/T$12)</f>
        <v>-2.3818008906304633</v>
      </c>
      <c r="W92" s="16"/>
      <c r="X92" s="21">
        <f>+P92-T92</f>
        <v>23340.57030473082</v>
      </c>
      <c r="Y92" s="16"/>
      <c r="Z92" s="20">
        <f>IF(T92=0,0,X92/T92)</f>
        <v>-0.13830619617113721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2" customFormat="1" x14ac:dyDescent="0.25">
      <c r="A94" s="52"/>
      <c r="B94" s="10" t="s">
        <v>14</v>
      </c>
      <c r="C94" s="10"/>
      <c r="D94" s="4">
        <v>7879.78</v>
      </c>
      <c r="E94" s="4"/>
      <c r="F94" s="12">
        <f>IF(D$12=0,0,D94/D$12)</f>
        <v>0.16883646146607276</v>
      </c>
      <c r="G94" s="4"/>
      <c r="H94" s="4">
        <v>11571</v>
      </c>
      <c r="I94" s="4"/>
      <c r="J94" s="12">
        <f>IF(H$12=0,0,H94/H$12)</f>
        <v>0.16330764671013634</v>
      </c>
      <c r="K94" s="4"/>
      <c r="L94" s="4">
        <f>+D94-H94</f>
        <v>-3691.2200000000003</v>
      </c>
      <c r="M94" s="4"/>
      <c r="N94" s="12">
        <f>IF(H94=0,0,L94/H94)</f>
        <v>-0.31900613602972949</v>
      </c>
      <c r="O94" s="10"/>
      <c r="P94" s="4">
        <v>7879.78</v>
      </c>
      <c r="Q94" s="4"/>
      <c r="R94" s="12">
        <f>IF(P$12=0,0,P94/P$12)</f>
        <v>0.16883646146607276</v>
      </c>
      <c r="S94" s="4"/>
      <c r="T94" s="4">
        <v>11571</v>
      </c>
      <c r="U94" s="4"/>
      <c r="V94" s="12">
        <f>IF(T$12=0,0,T94/T$12)</f>
        <v>0.16330764671013634</v>
      </c>
      <c r="W94" s="4"/>
      <c r="X94" s="4">
        <f>+P94-T94</f>
        <v>-3691.2200000000003</v>
      </c>
      <c r="Y94" s="4"/>
      <c r="Z94" s="12">
        <f>IF(T94=0,0,X94/T94)</f>
        <v>-0.31900613602972949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2" customFormat="1" ht="15.75" thickBot="1" x14ac:dyDescent="0.3">
      <c r="A96" s="10"/>
      <c r="B96" s="26" t="s">
        <v>4</v>
      </c>
      <c r="C96" s="26"/>
      <c r="D96" s="33">
        <f>+D92-D94</f>
        <v>-88746.489999999976</v>
      </c>
      <c r="E96" s="13"/>
      <c r="F96" s="31">
        <f>IF(D$12=0,0,D96/D$12)</f>
        <v>-1.9015306695281098</v>
      </c>
      <c r="G96" s="13"/>
      <c r="H96" s="33">
        <f>+H92-H94</f>
        <v>-82902.016423769295</v>
      </c>
      <c r="I96" s="13"/>
      <c r="J96" s="31">
        <f>IF(H$12=0,0,H96/H$12)</f>
        <v>-1.1700400319497741</v>
      </c>
      <c r="K96" s="16"/>
      <c r="L96" s="33">
        <f>D96-H96</f>
        <v>-5844.4735762306809</v>
      </c>
      <c r="M96" s="16"/>
      <c r="N96" s="31">
        <f>IF(H96=0,0,L96/H96)</f>
        <v>7.0498569616878212E-2</v>
      </c>
      <c r="O96" s="25"/>
      <c r="P96" s="33">
        <f>+P92-P94</f>
        <v>-153299.33000000002</v>
      </c>
      <c r="Q96" s="13"/>
      <c r="R96" s="31">
        <f>IF(P$12=0,0,P96/P$12)</f>
        <v>-3.2846750064493904</v>
      </c>
      <c r="S96" s="13"/>
      <c r="T96" s="33">
        <f>+T92-T94</f>
        <v>-180331.12030473084</v>
      </c>
      <c r="U96" s="13"/>
      <c r="V96" s="31">
        <f>IF(T$12=0,0,T96/T$12)</f>
        <v>-2.5451085373405995</v>
      </c>
      <c r="W96" s="16"/>
      <c r="X96" s="33">
        <f>P96-T96</f>
        <v>27031.790304730821</v>
      </c>
      <c r="Y96" s="16"/>
      <c r="Z96" s="31">
        <f>IF(T96=0,0,X96/T96)</f>
        <v>-0.1499008615875696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2" customFormat="1" ht="15.75" thickBot="1" x14ac:dyDescent="0.3">
      <c r="A99" s="10"/>
      <c r="B99" s="26" t="s">
        <v>5</v>
      </c>
      <c r="C99" s="26"/>
      <c r="D99" s="32">
        <f>SUM(D96:D98)</f>
        <v>-88746.489999999976</v>
      </c>
      <c r="E99" s="13"/>
      <c r="F99" s="35">
        <f>IF(D$12=0,0,D99/D$12)</f>
        <v>-1.9015306695281098</v>
      </c>
      <c r="G99" s="13"/>
      <c r="H99" s="32">
        <f>SUM(H96:H98)</f>
        <v>-82902.016423769295</v>
      </c>
      <c r="I99" s="13"/>
      <c r="J99" s="35">
        <f>IF(H$12=0,0,H99/H$12)</f>
        <v>-1.1700400319497741</v>
      </c>
      <c r="K99" s="16"/>
      <c r="L99" s="32">
        <f>+D99-H99</f>
        <v>-5844.4735762306809</v>
      </c>
      <c r="M99" s="16"/>
      <c r="N99" s="35">
        <f>IF(H99=0,0,L99/H99)</f>
        <v>7.0498569616878212E-2</v>
      </c>
      <c r="O99" s="25"/>
      <c r="P99" s="32">
        <f>SUM(P96:P98)</f>
        <v>-153299.33000000002</v>
      </c>
      <c r="Q99" s="13"/>
      <c r="R99" s="35">
        <f>IF(P$12=0,0,P99/P$12)</f>
        <v>-3.2846750064493904</v>
      </c>
      <c r="S99" s="13"/>
      <c r="T99" s="32">
        <f>SUM(T96:T98)</f>
        <v>-180331.12030473084</v>
      </c>
      <c r="U99" s="13"/>
      <c r="V99" s="35">
        <f>IF(T$12=0,0,T99/T$12)</f>
        <v>-2.5451085373405995</v>
      </c>
      <c r="W99" s="16"/>
      <c r="X99" s="32">
        <f>+P99-T99</f>
        <v>27031.790304730821</v>
      </c>
      <c r="Y99" s="16"/>
      <c r="Z99" s="35">
        <f>IF(T99=0,0,X99/T99)</f>
        <v>-0.1499008615875696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9">
        <v>44113.690048263888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62" t="s">
        <v>314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63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","450", " - ", "Beachside Dining Hall")</f>
        <v>Department 450 - Beachside Dining Hall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16798</v>
      </c>
      <c r="I12" s="4"/>
      <c r="J12" s="12"/>
      <c r="K12" s="4"/>
      <c r="L12" s="4">
        <f t="shared" ref="L12:L13" si="0">+D12-H12</f>
        <v>-16798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16798</v>
      </c>
      <c r="U12" s="4"/>
      <c r="V12" s="12"/>
      <c r="W12" s="4"/>
      <c r="X12" s="4">
        <f t="shared" ref="X12:X13" si="2">+P12-T12</f>
        <v>-16798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3"/>
      <c r="G13" s="2"/>
      <c r="H13" s="2">
        <v>16798</v>
      </c>
      <c r="I13" s="2"/>
      <c r="J13" s="23"/>
      <c r="K13" s="2"/>
      <c r="L13" s="2">
        <f t="shared" si="0"/>
        <v>-16798</v>
      </c>
      <c r="M13" s="2"/>
      <c r="N13" s="23">
        <f t="shared" si="1"/>
        <v>-1</v>
      </c>
      <c r="O13" s="11"/>
      <c r="P13" s="2">
        <f>0</f>
        <v>0</v>
      </c>
      <c r="Q13" s="2"/>
      <c r="R13" s="23"/>
      <c r="S13" s="2"/>
      <c r="T13" s="2">
        <v>16798</v>
      </c>
      <c r="U13" s="2"/>
      <c r="V13" s="23"/>
      <c r="W13" s="2"/>
      <c r="X13" s="2">
        <f t="shared" si="2"/>
        <v>-16798</v>
      </c>
      <c r="Y13" s="2"/>
      <c r="Z13" s="23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7223</v>
      </c>
      <c r="I15" s="4"/>
      <c r="J15" s="12">
        <f t="shared" ref="J15:J16" si="5">IF(H$12=0,0,H15/H$12)</f>
        <v>0.42999166567448505</v>
      </c>
      <c r="K15" s="4"/>
      <c r="L15" s="4">
        <f t="shared" ref="L15:L16" si="6">+D15-H15</f>
        <v>-7223</v>
      </c>
      <c r="M15" s="4"/>
      <c r="N15" s="12">
        <f t="shared" ref="N15:N16" si="7">IF(H15=0,0,L15/H15)</f>
        <v>-1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7223</v>
      </c>
      <c r="U15" s="4"/>
      <c r="V15" s="12">
        <f t="shared" ref="V15:V16" si="9">IF(T$12=0,0,T15/T$12)</f>
        <v>0.42999166567448505</v>
      </c>
      <c r="W15" s="4"/>
      <c r="X15" s="4">
        <f t="shared" ref="X15:X16" si="10">+P15-T15</f>
        <v>-7223</v>
      </c>
      <c r="Y15" s="4"/>
      <c r="Z15" s="12">
        <f t="shared" ref="Z15:Z16" si="11">IF(T15=0,0,X15/T15)</f>
        <v>-1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3">
        <f t="shared" si="4"/>
        <v>0</v>
      </c>
      <c r="G16" s="2"/>
      <c r="H16" s="2">
        <v>7223</v>
      </c>
      <c r="I16" s="2"/>
      <c r="J16" s="23">
        <f t="shared" si="5"/>
        <v>0.42999166567448505</v>
      </c>
      <c r="K16" s="2"/>
      <c r="L16" s="2">
        <f t="shared" si="6"/>
        <v>-7223</v>
      </c>
      <c r="M16" s="2"/>
      <c r="N16" s="23">
        <f t="shared" si="7"/>
        <v>-1</v>
      </c>
      <c r="O16" s="11"/>
      <c r="P16" s="2"/>
      <c r="Q16" s="2"/>
      <c r="R16" s="23">
        <f t="shared" si="8"/>
        <v>0</v>
      </c>
      <c r="S16" s="2"/>
      <c r="T16" s="2">
        <v>7223</v>
      </c>
      <c r="U16" s="2"/>
      <c r="V16" s="23">
        <f t="shared" si="9"/>
        <v>0.42999166567448505</v>
      </c>
      <c r="W16" s="2"/>
      <c r="X16" s="2">
        <f t="shared" si="10"/>
        <v>-7223</v>
      </c>
      <c r="Y16" s="2"/>
      <c r="Z16" s="23">
        <f t="shared" si="11"/>
        <v>-1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>
        <f>D12-D15</f>
        <v>0</v>
      </c>
      <c r="E18" s="13"/>
      <c r="F18" s="20">
        <f>IF(D$12=0,0,D18/D$12)</f>
        <v>0</v>
      </c>
      <c r="G18" s="13"/>
      <c r="H18" s="21">
        <f>H12-H15</f>
        <v>9575</v>
      </c>
      <c r="I18" s="13"/>
      <c r="J18" s="20">
        <f>IF(H$12=0,0,H18/H$12)</f>
        <v>0.5700083343255149</v>
      </c>
      <c r="K18" s="16"/>
      <c r="L18" s="21">
        <f>+D18-H18</f>
        <v>-9575</v>
      </c>
      <c r="M18" s="16"/>
      <c r="N18" s="20">
        <f>IF(H18=0,0,L18/H18)</f>
        <v>-1</v>
      </c>
      <c r="O18" s="25"/>
      <c r="P18" s="21">
        <f>P12-P15</f>
        <v>0</v>
      </c>
      <c r="Q18" s="13"/>
      <c r="R18" s="20">
        <f>IF(P$12=0,0,P18/P$12)</f>
        <v>0</v>
      </c>
      <c r="S18" s="13"/>
      <c r="T18" s="21">
        <f>T12-T15</f>
        <v>9575</v>
      </c>
      <c r="U18" s="13"/>
      <c r="V18" s="20">
        <f>IF(T$12=0,0,T18/T$12)</f>
        <v>0.5700083343255149</v>
      </c>
      <c r="W18" s="16"/>
      <c r="X18" s="21">
        <f>+P18-T18</f>
        <v>-9575</v>
      </c>
      <c r="Y18" s="16"/>
      <c r="Z18" s="20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>
        <f>SUM(OSRRefD22x_0)</f>
        <v>38261.779999999992</v>
      </c>
      <c r="E20" s="19"/>
      <c r="F20" s="30">
        <f t="shared" ref="F20:F31" si="12">IF(D$12=0,0,D20/D$12)</f>
        <v>0</v>
      </c>
      <c r="G20" s="19"/>
      <c r="H20" s="19">
        <f>SUM(OSRRefH22x_0)</f>
        <v>84599.635545587662</v>
      </c>
      <c r="I20" s="19"/>
      <c r="J20" s="30">
        <f t="shared" ref="J20:J31" si="13">IF(H$12=0,0,H20/H$12)</f>
        <v>5.0362921505886211</v>
      </c>
      <c r="K20" s="4"/>
      <c r="L20" s="19">
        <f t="shared" ref="L20:L31" si="14">+D20-H20</f>
        <v>-46337.85554558767</v>
      </c>
      <c r="M20" s="4"/>
      <c r="N20" s="30">
        <f t="shared" ref="N20:N31" si="15">IF(H20=0,0,L20/H20)</f>
        <v>-0.54773114856526639</v>
      </c>
      <c r="O20" s="10"/>
      <c r="P20" s="19">
        <f>SUM(OSRRefP22x_0)</f>
        <v>78621.920000000013</v>
      </c>
      <c r="Q20" s="19"/>
      <c r="R20" s="30">
        <f t="shared" ref="R20:R31" si="16">IF(P$12=0,0,P20/P$12)</f>
        <v>0</v>
      </c>
      <c r="S20" s="19"/>
      <c r="T20" s="19">
        <f>SUM(OSRRefT22x_0)</f>
        <v>166326.12404007223</v>
      </c>
      <c r="U20" s="19"/>
      <c r="V20" s="30">
        <f t="shared" ref="V20:V31" si="17">IF(T$12=0,0,T20/T$12)</f>
        <v>9.9015432813473172</v>
      </c>
      <c r="W20" s="4"/>
      <c r="X20" s="19">
        <f t="shared" ref="X20:X31" si="18">+P20-T20</f>
        <v>-87704.204040072218</v>
      </c>
      <c r="Y20" s="4"/>
      <c r="Z20" s="30">
        <f t="shared" ref="Z20:Z31" si="19">IF(T20=0,0,X20/T20)</f>
        <v>-0.52730263839336522</v>
      </c>
    </row>
    <row r="21" spans="1:26" s="29" customFormat="1" outlineLevel="1" collapsed="1" x14ac:dyDescent="0.25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18954.719999999998</v>
      </c>
      <c r="E21" s="1"/>
      <c r="F21" s="5">
        <f t="shared" si="12"/>
        <v>0</v>
      </c>
      <c r="G21" s="1"/>
      <c r="H21" s="1">
        <f>SUM(OSRRefH22_0x_0)</f>
        <v>28289.583087126117</v>
      </c>
      <c r="I21" s="1"/>
      <c r="J21" s="5">
        <f t="shared" si="13"/>
        <v>1.6841042437865292</v>
      </c>
      <c r="K21" s="1"/>
      <c r="L21" s="1">
        <f t="shared" si="14"/>
        <v>-9334.8630871261194</v>
      </c>
      <c r="M21" s="1"/>
      <c r="N21" s="5">
        <f t="shared" si="15"/>
        <v>-0.32997527953581551</v>
      </c>
      <c r="O21" s="14"/>
      <c r="P21" s="1">
        <f>SUM(OSRRefP22_0x_0)</f>
        <v>38134.450000000004</v>
      </c>
      <c r="Q21" s="1"/>
      <c r="R21" s="5">
        <f t="shared" si="16"/>
        <v>0</v>
      </c>
      <c r="S21" s="1"/>
      <c r="T21" s="1">
        <f>SUM(OSRRefT22_0x_0)</f>
        <v>61537.149758533778</v>
      </c>
      <c r="U21" s="1"/>
      <c r="V21" s="5">
        <f t="shared" si="17"/>
        <v>3.663361695352648</v>
      </c>
      <c r="W21" s="1"/>
      <c r="X21" s="1">
        <f t="shared" si="18"/>
        <v>-23402.699758533774</v>
      </c>
      <c r="Y21" s="1"/>
      <c r="Z21" s="5">
        <f t="shared" si="19"/>
        <v>-0.38030197775431357</v>
      </c>
    </row>
    <row r="22" spans="1:26" s="24" customFormat="1" hidden="1" outlineLevel="2" x14ac:dyDescent="0.25">
      <c r="A22" s="27"/>
      <c r="B22" s="11" t="str">
        <f>CONCATENATE("          ", "6111", " - ", "F.I.C.A.")</f>
        <v xml:space="preserve">          6111 - F.I.C.A.</v>
      </c>
      <c r="C22" s="11"/>
      <c r="D22" s="6">
        <v>1597.77</v>
      </c>
      <c r="E22" s="2"/>
      <c r="F22" s="7">
        <f t="shared" si="12"/>
        <v>0</v>
      </c>
      <c r="G22" s="2"/>
      <c r="H22" s="6">
        <v>3001.2528029723098</v>
      </c>
      <c r="I22" s="2"/>
      <c r="J22" s="7">
        <f t="shared" si="13"/>
        <v>0.17866727009002917</v>
      </c>
      <c r="K22" s="2"/>
      <c r="L22" s="6">
        <f t="shared" si="14"/>
        <v>-1403.4828029723099</v>
      </c>
      <c r="M22" s="2"/>
      <c r="N22" s="7">
        <f t="shared" si="15"/>
        <v>-0.46763231727176124</v>
      </c>
      <c r="O22" s="11"/>
      <c r="P22" s="6">
        <v>2925.18</v>
      </c>
      <c r="Q22" s="2"/>
      <c r="R22" s="7">
        <f t="shared" si="16"/>
        <v>0</v>
      </c>
      <c r="S22" s="2"/>
      <c r="T22" s="6">
        <v>6298.4219316876906</v>
      </c>
      <c r="U22" s="2"/>
      <c r="V22" s="7">
        <f t="shared" si="17"/>
        <v>0.37495070435097577</v>
      </c>
      <c r="W22" s="2"/>
      <c r="X22" s="6">
        <f t="shared" si="18"/>
        <v>-3373.2419316876908</v>
      </c>
      <c r="Y22" s="2"/>
      <c r="Z22" s="7">
        <f t="shared" si="19"/>
        <v>-0.53556938043746072</v>
      </c>
    </row>
    <row r="23" spans="1:26" s="24" customFormat="1" hidden="1" outlineLevel="2" x14ac:dyDescent="0.25">
      <c r="A23" s="27"/>
      <c r="B23" s="11" t="str">
        <f>CONCATENATE("          ", "6112", " - ", "COMPENSATION INSURANCE")</f>
        <v xml:space="preserve">          6112 - COMPENSATION INSURANCE</v>
      </c>
      <c r="C23" s="11"/>
      <c r="D23" s="6">
        <v>805.48</v>
      </c>
      <c r="E23" s="2"/>
      <c r="F23" s="7">
        <f t="shared" si="12"/>
        <v>0</v>
      </c>
      <c r="G23" s="2"/>
      <c r="H23" s="6">
        <v>1783.1892803999999</v>
      </c>
      <c r="I23" s="2"/>
      <c r="J23" s="7">
        <f t="shared" si="13"/>
        <v>0.10615485655435171</v>
      </c>
      <c r="K23" s="2"/>
      <c r="L23" s="6">
        <f t="shared" si="14"/>
        <v>-977.7092803999999</v>
      </c>
      <c r="M23" s="2"/>
      <c r="N23" s="7">
        <f t="shared" si="15"/>
        <v>-0.54829248422841736</v>
      </c>
      <c r="O23" s="11"/>
      <c r="P23" s="6">
        <v>1533.11</v>
      </c>
      <c r="Q23" s="2"/>
      <c r="R23" s="7">
        <f t="shared" si="16"/>
        <v>0</v>
      </c>
      <c r="S23" s="2"/>
      <c r="T23" s="6">
        <v>3631.4651934000003</v>
      </c>
      <c r="U23" s="2"/>
      <c r="V23" s="7">
        <f t="shared" si="17"/>
        <v>0.21618437869984525</v>
      </c>
      <c r="W23" s="2"/>
      <c r="X23" s="6">
        <f t="shared" si="18"/>
        <v>-2098.3551934000006</v>
      </c>
      <c r="Y23" s="2"/>
      <c r="Z23" s="7">
        <f t="shared" si="19"/>
        <v>-0.57782605137277709</v>
      </c>
    </row>
    <row r="24" spans="1:26" s="24" customFormat="1" hidden="1" outlineLevel="2" x14ac:dyDescent="0.25">
      <c r="A24" s="27"/>
      <c r="B24" s="11" t="str">
        <f>CONCATENATE("          ", "6113", " - ", "GROUP INSURANCE")</f>
        <v xml:space="preserve">          6113 - GROUP INSURANCE</v>
      </c>
      <c r="C24" s="11"/>
      <c r="D24" s="6">
        <v>12616.93</v>
      </c>
      <c r="E24" s="2"/>
      <c r="F24" s="7">
        <f t="shared" si="12"/>
        <v>0</v>
      </c>
      <c r="G24" s="2"/>
      <c r="H24" s="6">
        <v>19310.769230769198</v>
      </c>
      <c r="I24" s="2"/>
      <c r="J24" s="7">
        <f t="shared" si="13"/>
        <v>1.1495874050940111</v>
      </c>
      <c r="K24" s="2"/>
      <c r="L24" s="6">
        <f t="shared" si="14"/>
        <v>-6693.8392307691975</v>
      </c>
      <c r="M24" s="2"/>
      <c r="N24" s="7">
        <f t="shared" si="15"/>
        <v>-0.34663762746972482</v>
      </c>
      <c r="O24" s="11"/>
      <c r="P24" s="6">
        <v>25233.89</v>
      </c>
      <c r="Q24" s="2"/>
      <c r="R24" s="7">
        <f t="shared" si="16"/>
        <v>0</v>
      </c>
      <c r="S24" s="2"/>
      <c r="T24" s="6">
        <v>42459.2307692307</v>
      </c>
      <c r="U24" s="2"/>
      <c r="V24" s="7">
        <f t="shared" si="17"/>
        <v>2.5276360738915762</v>
      </c>
      <c r="W24" s="2"/>
      <c r="X24" s="6">
        <f t="shared" si="18"/>
        <v>-17225.340769230701</v>
      </c>
      <c r="Y24" s="2"/>
      <c r="Z24" s="7">
        <f t="shared" si="19"/>
        <v>-0.40569130568690231</v>
      </c>
    </row>
    <row r="25" spans="1:26" s="24" customFormat="1" hidden="1" outlineLevel="2" x14ac:dyDescent="0.25">
      <c r="A25" s="27"/>
      <c r="B25" s="11" t="str">
        <f>CONCATENATE("          ", "6114", " - ", "STATE UNEMPLOYMENT INSURANCE")</f>
        <v xml:space="preserve">          6114 - STATE UNEMPLOYMENT INSURANCE</v>
      </c>
      <c r="C25" s="11"/>
      <c r="D25" s="6">
        <v>53.46</v>
      </c>
      <c r="E25" s="2"/>
      <c r="F25" s="7">
        <f t="shared" si="12"/>
        <v>0</v>
      </c>
      <c r="G25" s="2"/>
      <c r="H25" s="6">
        <v>108.0720776</v>
      </c>
      <c r="I25" s="2"/>
      <c r="J25" s="7">
        <f t="shared" si="13"/>
        <v>6.4336276699607092E-3</v>
      </c>
      <c r="K25" s="2"/>
      <c r="L25" s="6">
        <f t="shared" si="14"/>
        <v>-54.612077599999999</v>
      </c>
      <c r="M25" s="2"/>
      <c r="N25" s="7">
        <f t="shared" si="15"/>
        <v>-0.5053301353392321</v>
      </c>
      <c r="O25" s="11"/>
      <c r="P25" s="6">
        <v>101.59</v>
      </c>
      <c r="Q25" s="2"/>
      <c r="R25" s="7">
        <f t="shared" si="16"/>
        <v>0</v>
      </c>
      <c r="S25" s="2"/>
      <c r="T25" s="6">
        <v>220.08879959999999</v>
      </c>
      <c r="U25" s="2"/>
      <c r="V25" s="7">
        <f t="shared" si="17"/>
        <v>1.3102083557566375E-2</v>
      </c>
      <c r="W25" s="2"/>
      <c r="X25" s="6">
        <f t="shared" si="18"/>
        <v>-118.49879959999998</v>
      </c>
      <c r="Y25" s="2"/>
      <c r="Z25" s="7">
        <f t="shared" si="19"/>
        <v>-0.53841358495009939</v>
      </c>
    </row>
    <row r="26" spans="1:26" s="24" customFormat="1" hidden="1" outlineLevel="2" x14ac:dyDescent="0.25">
      <c r="A26" s="27"/>
      <c r="B26" s="11" t="str">
        <f>CONCATENATE("          ", "6115", " - ", "P.E.R.S.")</f>
        <v xml:space="preserve">          6115 - P.E.R.S.</v>
      </c>
      <c r="C26" s="11"/>
      <c r="D26" s="6">
        <v>485.07</v>
      </c>
      <c r="E26" s="2"/>
      <c r="F26" s="7">
        <f t="shared" si="12"/>
        <v>0</v>
      </c>
      <c r="G26" s="2"/>
      <c r="H26" s="6">
        <v>808.168461538462</v>
      </c>
      <c r="I26" s="2"/>
      <c r="J26" s="7">
        <f t="shared" si="13"/>
        <v>4.8110993066940229E-2</v>
      </c>
      <c r="K26" s="2"/>
      <c r="L26" s="6">
        <f t="shared" si="14"/>
        <v>-323.098461538462</v>
      </c>
      <c r="M26" s="2"/>
      <c r="N26" s="7">
        <f t="shared" si="15"/>
        <v>-0.39979098036490901</v>
      </c>
      <c r="O26" s="11"/>
      <c r="P26" s="6">
        <v>1212.67</v>
      </c>
      <c r="Q26" s="2"/>
      <c r="R26" s="7">
        <f t="shared" si="16"/>
        <v>0</v>
      </c>
      <c r="S26" s="2"/>
      <c r="T26" s="6">
        <v>1818.379038461542</v>
      </c>
      <c r="U26" s="2"/>
      <c r="V26" s="7">
        <f t="shared" si="17"/>
        <v>0.10824973440061567</v>
      </c>
      <c r="W26" s="2"/>
      <c r="X26" s="6">
        <f t="shared" si="18"/>
        <v>-605.70903846154192</v>
      </c>
      <c r="Y26" s="2"/>
      <c r="Z26" s="7">
        <f t="shared" si="19"/>
        <v>-0.33310383899608093</v>
      </c>
    </row>
    <row r="27" spans="1:26" s="24" customFormat="1" hidden="1" outlineLevel="2" x14ac:dyDescent="0.25">
      <c r="A27" s="27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"6117", " - ", "RETIREMENT STAFF HOURLY")</f>
        <v xml:space="preserve">          6117 - RETIREMENT STAFF HOURLY</v>
      </c>
      <c r="C28" s="11"/>
      <c r="D28" s="6">
        <v>533.82000000000005</v>
      </c>
      <c r="E28" s="2"/>
      <c r="F28" s="7">
        <f t="shared" si="12"/>
        <v>0</v>
      </c>
      <c r="G28" s="2"/>
      <c r="H28" s="6"/>
      <c r="I28" s="2"/>
      <c r="J28" s="7">
        <f t="shared" si="13"/>
        <v>0</v>
      </c>
      <c r="K28" s="2"/>
      <c r="L28" s="6">
        <f t="shared" si="14"/>
        <v>533.82000000000005</v>
      </c>
      <c r="M28" s="2"/>
      <c r="N28" s="7">
        <f t="shared" si="15"/>
        <v>0</v>
      </c>
      <c r="O28" s="11"/>
      <c r="P28" s="6">
        <v>1225.68</v>
      </c>
      <c r="Q28" s="2"/>
      <c r="R28" s="7">
        <f t="shared" si="16"/>
        <v>0</v>
      </c>
      <c r="S28" s="2"/>
      <c r="T28" s="6"/>
      <c r="U28" s="2"/>
      <c r="V28" s="7">
        <f t="shared" si="17"/>
        <v>0</v>
      </c>
      <c r="W28" s="2"/>
      <c r="X28" s="6">
        <f t="shared" si="18"/>
        <v>1225.68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"6118", " - ", "VACATION")</f>
        <v xml:space="preserve">          6118 - VACATION</v>
      </c>
      <c r="C29" s="11"/>
      <c r="D29" s="6">
        <v>1220.8699999999999</v>
      </c>
      <c r="E29" s="2"/>
      <c r="F29" s="7">
        <f t="shared" si="12"/>
        <v>0</v>
      </c>
      <c r="G29" s="2"/>
      <c r="H29" s="6">
        <v>1943.1995692307701</v>
      </c>
      <c r="I29" s="2"/>
      <c r="J29" s="7">
        <f t="shared" si="13"/>
        <v>0.11568041250332005</v>
      </c>
      <c r="K29" s="2"/>
      <c r="L29" s="6">
        <f t="shared" si="14"/>
        <v>-722.32956923077018</v>
      </c>
      <c r="M29" s="2"/>
      <c r="N29" s="7">
        <f t="shared" si="15"/>
        <v>-0.37172176274036006</v>
      </c>
      <c r="O29" s="11"/>
      <c r="P29" s="6">
        <v>2420.4899999999998</v>
      </c>
      <c r="Q29" s="2"/>
      <c r="R29" s="7">
        <f t="shared" si="16"/>
        <v>0</v>
      </c>
      <c r="S29" s="2"/>
      <c r="T29" s="6">
        <v>4372.1990307692295</v>
      </c>
      <c r="U29" s="2"/>
      <c r="V29" s="7">
        <f t="shared" si="17"/>
        <v>0.26028092813246989</v>
      </c>
      <c r="W29" s="2"/>
      <c r="X29" s="6">
        <f t="shared" si="18"/>
        <v>-1951.7090307692297</v>
      </c>
      <c r="Y29" s="2"/>
      <c r="Z29" s="7">
        <f t="shared" si="19"/>
        <v>-0.44639071026596261</v>
      </c>
    </row>
    <row r="30" spans="1:26" s="24" customFormat="1" hidden="1" outlineLevel="2" x14ac:dyDescent="0.25">
      <c r="A30" s="27"/>
      <c r="B30" s="11" t="str">
        <f>CONCATENATE("          ", "6119", " - ", "SICK LEAVE")</f>
        <v xml:space="preserve">          6119 - SICK LEAVE</v>
      </c>
      <c r="C30" s="11"/>
      <c r="D30" s="6">
        <v>946.52</v>
      </c>
      <c r="E30" s="2"/>
      <c r="F30" s="7">
        <f t="shared" si="12"/>
        <v>0</v>
      </c>
      <c r="G30" s="2"/>
      <c r="H30" s="6">
        <v>1334.93166461538</v>
      </c>
      <c r="I30" s="2"/>
      <c r="J30" s="7">
        <f t="shared" si="13"/>
        <v>7.9469678807916416E-2</v>
      </c>
      <c r="K30" s="2"/>
      <c r="L30" s="6">
        <f t="shared" si="14"/>
        <v>-388.41166461538</v>
      </c>
      <c r="M30" s="2"/>
      <c r="N30" s="7">
        <f t="shared" si="15"/>
        <v>-0.29095996065632995</v>
      </c>
      <c r="O30" s="11"/>
      <c r="P30" s="6">
        <v>1893.04</v>
      </c>
      <c r="Q30" s="2"/>
      <c r="R30" s="7">
        <f t="shared" si="16"/>
        <v>0</v>
      </c>
      <c r="S30" s="2"/>
      <c r="T30" s="6">
        <v>2737.3649953846102</v>
      </c>
      <c r="U30" s="2"/>
      <c r="V30" s="7">
        <f t="shared" si="17"/>
        <v>0.16295779231959817</v>
      </c>
      <c r="W30" s="2"/>
      <c r="X30" s="6">
        <f t="shared" si="18"/>
        <v>-844.32499538461025</v>
      </c>
      <c r="Y30" s="2"/>
      <c r="Z30" s="7">
        <f t="shared" si="19"/>
        <v>-0.30844443353670464</v>
      </c>
    </row>
    <row r="31" spans="1:26" s="24" customFormat="1" hidden="1" outlineLevel="2" x14ac:dyDescent="0.25">
      <c r="A31" s="27"/>
      <c r="B31" s="11" t="str">
        <f>CONCATENATE("          ", "6156", " - ", "EMPLOYEE MEALS")</f>
        <v xml:space="preserve">          6156 - EMPLOYEE MEALS</v>
      </c>
      <c r="C31" s="11"/>
      <c r="D31" s="6">
        <v>694.8</v>
      </c>
      <c r="E31" s="2"/>
      <c r="F31" s="7">
        <f t="shared" si="12"/>
        <v>0</v>
      </c>
      <c r="G31" s="2"/>
      <c r="H31" s="6"/>
      <c r="I31" s="2"/>
      <c r="J31" s="7">
        <f t="shared" si="13"/>
        <v>0</v>
      </c>
      <c r="K31" s="2"/>
      <c r="L31" s="6">
        <f t="shared" si="14"/>
        <v>694.8</v>
      </c>
      <c r="M31" s="2"/>
      <c r="N31" s="7">
        <f t="shared" si="15"/>
        <v>0</v>
      </c>
      <c r="O31" s="11"/>
      <c r="P31" s="6">
        <v>1588.8</v>
      </c>
      <c r="Q31" s="2"/>
      <c r="R31" s="7">
        <f t="shared" si="16"/>
        <v>0</v>
      </c>
      <c r="S31" s="2"/>
      <c r="T31" s="6"/>
      <c r="U31" s="2"/>
      <c r="V31" s="7">
        <f t="shared" si="17"/>
        <v>0</v>
      </c>
      <c r="W31" s="2"/>
      <c r="X31" s="6">
        <f t="shared" si="18"/>
        <v>1588.8</v>
      </c>
      <c r="Y31" s="2"/>
      <c r="Z31" s="7">
        <f t="shared" si="19"/>
        <v>0</v>
      </c>
    </row>
    <row r="32" spans="1:26" s="29" customFormat="1" outlineLevel="1" collapsed="1" x14ac:dyDescent="0.25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18830.21</v>
      </c>
      <c r="E32" s="1"/>
      <c r="F32" s="5">
        <f t="shared" ref="F32:F42" si="20">IF(D$12=0,0,D32/D$12)</f>
        <v>0</v>
      </c>
      <c r="G32" s="1"/>
      <c r="H32" s="1">
        <f>SUM(OSRRefH22_1x_0)</f>
        <v>38288.052458461541</v>
      </c>
      <c r="I32" s="1"/>
      <c r="J32" s="5">
        <f t="shared" ref="J32:J42" si="21">IF(H$12=0,0,H32/H$12)</f>
        <v>2.2793220894428825</v>
      </c>
      <c r="K32" s="1"/>
      <c r="L32" s="1">
        <f t="shared" ref="L32:L42" si="22">+D32-H32</f>
        <v>-19457.842458461542</v>
      </c>
      <c r="M32" s="1"/>
      <c r="N32" s="5">
        <f t="shared" ref="N32:N42" si="23">IF(H32=0,0,L32/H32)</f>
        <v>-0.50819619199935095</v>
      </c>
      <c r="O32" s="14"/>
      <c r="P32" s="1">
        <f>SUM(OSRRefP22_1x_0)</f>
        <v>37573.51</v>
      </c>
      <c r="Q32" s="1"/>
      <c r="R32" s="5">
        <f t="shared" ref="R32:R42" si="24">IF(P$12=0,0,P32/P$12)</f>
        <v>0</v>
      </c>
      <c r="S32" s="1"/>
      <c r="T32" s="1">
        <f>SUM(OSRRefT22_1x_0)</f>
        <v>77539.974281538438</v>
      </c>
      <c r="U32" s="1"/>
      <c r="V32" s="5">
        <f t="shared" ref="V32:V42" si="25">IF(T$12=0,0,T32/T$12)</f>
        <v>4.6160241863042293</v>
      </c>
      <c r="W32" s="1"/>
      <c r="X32" s="1">
        <f t="shared" ref="X32:X42" si="26">+P32-T32</f>
        <v>-39966.464281538436</v>
      </c>
      <c r="Y32" s="1"/>
      <c r="Z32" s="5">
        <f t="shared" ref="Z32:Z42" si="27">IF(T32=0,0,X32/T32)</f>
        <v>-0.51543045573403146</v>
      </c>
    </row>
    <row r="33" spans="1:26" s="24" customFormat="1" hidden="1" outlineLevel="2" x14ac:dyDescent="0.25">
      <c r="A33" s="27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7"/>
      <c r="B34" s="11" t="str">
        <f>CONCATENATE("          ", "6002", " - ", "STAFF SALARIES")</f>
        <v xml:space="preserve">          6002 - STAFF SALARIES</v>
      </c>
      <c r="C34" s="11"/>
      <c r="D34" s="6">
        <v>4397.32</v>
      </c>
      <c r="E34" s="2"/>
      <c r="F34" s="7">
        <f t="shared" si="20"/>
        <v>0</v>
      </c>
      <c r="G34" s="2"/>
      <c r="H34" s="6">
        <v>8337.7115384615408</v>
      </c>
      <c r="I34" s="2"/>
      <c r="J34" s="7">
        <f t="shared" si="21"/>
        <v>0.49635144293734618</v>
      </c>
      <c r="K34" s="2"/>
      <c r="L34" s="6">
        <f t="shared" si="22"/>
        <v>-3940.3915384615411</v>
      </c>
      <c r="M34" s="2"/>
      <c r="N34" s="7">
        <f t="shared" si="23"/>
        <v>-0.47259868853517745</v>
      </c>
      <c r="O34" s="11"/>
      <c r="P34" s="6">
        <v>9234.0400000000009</v>
      </c>
      <c r="Q34" s="2"/>
      <c r="R34" s="7">
        <f t="shared" si="24"/>
        <v>0</v>
      </c>
      <c r="S34" s="2"/>
      <c r="T34" s="6">
        <v>18759.850961538439</v>
      </c>
      <c r="U34" s="2"/>
      <c r="V34" s="7">
        <f t="shared" si="25"/>
        <v>1.1167907466090272</v>
      </c>
      <c r="W34" s="2"/>
      <c r="X34" s="6">
        <f t="shared" si="26"/>
        <v>-9525.8109615384383</v>
      </c>
      <c r="Y34" s="2"/>
      <c r="Z34" s="7">
        <f t="shared" si="27"/>
        <v>-0.50777647333490628</v>
      </c>
    </row>
    <row r="35" spans="1:26" s="24" customFormat="1" hidden="1" outlineLevel="2" x14ac:dyDescent="0.25">
      <c r="A35" s="27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"6004", " - ", "STAFF HOURLY")</f>
        <v xml:space="preserve">          6004 - STAFF HOURLY</v>
      </c>
      <c r="C36" s="11"/>
      <c r="D36" s="6">
        <v>15222.889999999998</v>
      </c>
      <c r="E36" s="2"/>
      <c r="F36" s="7">
        <f t="shared" si="20"/>
        <v>0</v>
      </c>
      <c r="G36" s="2"/>
      <c r="H36" s="6">
        <v>23063.825919999999</v>
      </c>
      <c r="I36" s="2"/>
      <c r="J36" s="7">
        <f t="shared" si="21"/>
        <v>1.3730102345517323</v>
      </c>
      <c r="K36" s="2"/>
      <c r="L36" s="6">
        <f t="shared" si="22"/>
        <v>-7840.9359200000017</v>
      </c>
      <c r="M36" s="2"/>
      <c r="N36" s="7">
        <f t="shared" si="23"/>
        <v>-0.33996683582322157</v>
      </c>
      <c r="O36" s="11"/>
      <c r="P36" s="6">
        <v>25716.47</v>
      </c>
      <c r="Q36" s="2"/>
      <c r="R36" s="7">
        <f t="shared" si="24"/>
        <v>0</v>
      </c>
      <c r="S36" s="2"/>
      <c r="T36" s="6">
        <v>51893.608319999999</v>
      </c>
      <c r="U36" s="2"/>
      <c r="V36" s="7">
        <f t="shared" si="25"/>
        <v>3.0892730277413976</v>
      </c>
      <c r="W36" s="2"/>
      <c r="X36" s="6">
        <f t="shared" si="26"/>
        <v>-26177.138319999998</v>
      </c>
      <c r="Y36" s="2"/>
      <c r="Z36" s="7">
        <f t="shared" si="27"/>
        <v>-0.50443858439327738</v>
      </c>
    </row>
    <row r="37" spans="1:26" s="24" customFormat="1" hidden="1" outlineLevel="2" x14ac:dyDescent="0.25">
      <c r="A37" s="27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0"/>
        <v>0</v>
      </c>
      <c r="G37" s="2"/>
      <c r="H37" s="6">
        <v>2279.0149999999999</v>
      </c>
      <c r="I37" s="2"/>
      <c r="J37" s="7">
        <f t="shared" si="21"/>
        <v>0.13567180616740088</v>
      </c>
      <c r="K37" s="2"/>
      <c r="L37" s="6">
        <f t="shared" si="22"/>
        <v>-2279.0149999999999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2279.0149999999999</v>
      </c>
      <c r="U37" s="2"/>
      <c r="V37" s="7">
        <f t="shared" si="25"/>
        <v>0.13567180616740088</v>
      </c>
      <c r="W37" s="2"/>
      <c r="X37" s="6">
        <f t="shared" si="26"/>
        <v>-2279.0149999999999</v>
      </c>
      <c r="Y37" s="2"/>
      <c r="Z37" s="7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"6007", " - ", "STUDENT HOURLY")</f>
        <v xml:space="preserve">          6007 - STUDENT HOURLY</v>
      </c>
      <c r="C39" s="11"/>
      <c r="D39" s="6">
        <v>-790</v>
      </c>
      <c r="E39" s="2"/>
      <c r="F39" s="7">
        <f t="shared" si="20"/>
        <v>0</v>
      </c>
      <c r="G39" s="2"/>
      <c r="H39" s="6">
        <v>4607.5</v>
      </c>
      <c r="I39" s="2"/>
      <c r="J39" s="7">
        <f t="shared" si="21"/>
        <v>0.27428860578640313</v>
      </c>
      <c r="K39" s="2"/>
      <c r="L39" s="6">
        <f t="shared" si="22"/>
        <v>-5397.5</v>
      </c>
      <c r="M39" s="2"/>
      <c r="N39" s="7">
        <f t="shared" si="23"/>
        <v>-1.171459576776994</v>
      </c>
      <c r="O39" s="11"/>
      <c r="P39" s="6">
        <v>2623</v>
      </c>
      <c r="Q39" s="2"/>
      <c r="R39" s="7">
        <f t="shared" si="24"/>
        <v>0</v>
      </c>
      <c r="S39" s="2"/>
      <c r="T39" s="6">
        <v>4607.5</v>
      </c>
      <c r="U39" s="2"/>
      <c r="V39" s="7">
        <f t="shared" si="25"/>
        <v>0.27428860578640313</v>
      </c>
      <c r="W39" s="2"/>
      <c r="X39" s="6">
        <f t="shared" si="26"/>
        <v>-1984.5</v>
      </c>
      <c r="Y39" s="2"/>
      <c r="Z39" s="7">
        <f t="shared" si="27"/>
        <v>-0.43071079761258818</v>
      </c>
    </row>
    <row r="40" spans="1:26" s="24" customFormat="1" hidden="1" outlineLevel="2" x14ac:dyDescent="0.25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9" customFormat="1" outlineLevel="1" collapsed="1" x14ac:dyDescent="0.25">
      <c r="A43" s="28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68" si="28">IF(D$12=0,0,D43/D$12)</f>
        <v>0</v>
      </c>
      <c r="G43" s="1"/>
      <c r="H43" s="1">
        <f>SUM(OSRRefH22_2x_0)</f>
        <v>400</v>
      </c>
      <c r="I43" s="1"/>
      <c r="J43" s="5">
        <f t="shared" ref="J43:J68" si="29">IF(H$12=0,0,H43/H$12)</f>
        <v>2.3812358614120729E-2</v>
      </c>
      <c r="K43" s="1"/>
      <c r="L43" s="1">
        <f t="shared" ref="L43:L68" si="30">+D43-H43</f>
        <v>-400</v>
      </c>
      <c r="M43" s="1"/>
      <c r="N43" s="5">
        <f t="shared" ref="N43:N68" si="31">IF(H43=0,0,L43/H43)</f>
        <v>-1</v>
      </c>
      <c r="O43" s="14"/>
      <c r="P43" s="1">
        <f>SUM(OSRRefP22_2x_0)</f>
        <v>0</v>
      </c>
      <c r="Q43" s="1"/>
      <c r="R43" s="5">
        <f t="shared" ref="R43:R68" si="32">IF(P$12=0,0,P43/P$12)</f>
        <v>0</v>
      </c>
      <c r="S43" s="1"/>
      <c r="T43" s="1">
        <f>SUM(OSRRefT22_2x_0)</f>
        <v>700</v>
      </c>
      <c r="U43" s="1"/>
      <c r="V43" s="5">
        <f t="shared" ref="V43:V68" si="33">IF(T$12=0,0,T43/T$12)</f>
        <v>4.1671627574711274E-2</v>
      </c>
      <c r="W43" s="1"/>
      <c r="X43" s="1">
        <f t="shared" ref="X43:X68" si="34">+P43-T43</f>
        <v>-700</v>
      </c>
      <c r="Y43" s="1"/>
      <c r="Z43" s="5">
        <f t="shared" ref="Z43:Z68" si="35">IF(T43=0,0,X43/T43)</f>
        <v>-1</v>
      </c>
    </row>
    <row r="44" spans="1:26" s="24" customFormat="1" hidden="1" outlineLevel="2" x14ac:dyDescent="0.25">
      <c r="A44" s="27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8"/>
        <v>0</v>
      </c>
      <c r="G44" s="2"/>
      <c r="H44" s="6">
        <v>400</v>
      </c>
      <c r="I44" s="2"/>
      <c r="J44" s="7">
        <f t="shared" si="29"/>
        <v>2.3812358614120729E-2</v>
      </c>
      <c r="K44" s="2"/>
      <c r="L44" s="6">
        <f t="shared" si="30"/>
        <v>-400</v>
      </c>
      <c r="M44" s="2"/>
      <c r="N44" s="7">
        <f t="shared" si="31"/>
        <v>-1</v>
      </c>
      <c r="O44" s="11"/>
      <c r="P44" s="6"/>
      <c r="Q44" s="2"/>
      <c r="R44" s="7">
        <f t="shared" si="32"/>
        <v>0</v>
      </c>
      <c r="S44" s="2"/>
      <c r="T44" s="6">
        <v>700</v>
      </c>
      <c r="U44" s="2"/>
      <c r="V44" s="7">
        <f t="shared" si="33"/>
        <v>4.1671627574711274E-2</v>
      </c>
      <c r="W44" s="2"/>
      <c r="X44" s="6">
        <f t="shared" si="34"/>
        <v>-700</v>
      </c>
      <c r="Y44" s="2"/>
      <c r="Z44" s="7">
        <f t="shared" si="35"/>
        <v>-1</v>
      </c>
    </row>
    <row r="45" spans="1:26" s="29" customFormat="1" outlineLevel="1" collapsed="1" x14ac:dyDescent="0.25">
      <c r="A45" s="28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28"/>
        <v>0</v>
      </c>
      <c r="G45" s="1"/>
      <c r="H45" s="1">
        <f>SUM(OSRRefH22_3x_0)</f>
        <v>8</v>
      </c>
      <c r="I45" s="1"/>
      <c r="J45" s="5">
        <f t="shared" si="29"/>
        <v>4.7624717228241458E-4</v>
      </c>
      <c r="K45" s="1"/>
      <c r="L45" s="1">
        <f t="shared" si="30"/>
        <v>-8</v>
      </c>
      <c r="M45" s="1"/>
      <c r="N45" s="5">
        <f t="shared" si="31"/>
        <v>-1</v>
      </c>
      <c r="O45" s="14"/>
      <c r="P45" s="1">
        <f>SUM(OSRRefP22_3x_0)</f>
        <v>0</v>
      </c>
      <c r="Q45" s="1"/>
      <c r="R45" s="5">
        <f t="shared" si="32"/>
        <v>0</v>
      </c>
      <c r="S45" s="1"/>
      <c r="T45" s="1">
        <f>SUM(OSRRefT22_3x_0)</f>
        <v>8</v>
      </c>
      <c r="U45" s="1"/>
      <c r="V45" s="5">
        <f t="shared" si="33"/>
        <v>4.7624717228241458E-4</v>
      </c>
      <c r="W45" s="1"/>
      <c r="X45" s="1">
        <f t="shared" si="34"/>
        <v>-8</v>
      </c>
      <c r="Y45" s="1"/>
      <c r="Z45" s="5">
        <f t="shared" si="35"/>
        <v>-1</v>
      </c>
    </row>
    <row r="46" spans="1:26" s="24" customFormat="1" hidden="1" outlineLevel="2" x14ac:dyDescent="0.25">
      <c r="A46" s="27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28"/>
        <v>0</v>
      </c>
      <c r="G46" s="2"/>
      <c r="H46" s="6">
        <v>8</v>
      </c>
      <c r="I46" s="2"/>
      <c r="J46" s="7">
        <f t="shared" si="29"/>
        <v>4.7624717228241458E-4</v>
      </c>
      <c r="K46" s="2"/>
      <c r="L46" s="6">
        <f t="shared" si="30"/>
        <v>-8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8</v>
      </c>
      <c r="U46" s="2"/>
      <c r="V46" s="7">
        <f t="shared" si="33"/>
        <v>4.7624717228241458E-4</v>
      </c>
      <c r="W46" s="2"/>
      <c r="X46" s="6">
        <f t="shared" si="34"/>
        <v>-8</v>
      </c>
      <c r="Y46" s="2"/>
      <c r="Z46" s="7">
        <f t="shared" si="35"/>
        <v>-1</v>
      </c>
    </row>
    <row r="47" spans="1:26" s="29" customFormat="1" outlineLevel="1" collapsed="1" x14ac:dyDescent="0.25">
      <c r="A47" s="28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28"/>
        <v>0</v>
      </c>
      <c r="G47" s="1"/>
      <c r="H47" s="1">
        <f>SUM(OSRRefH22_4x_0)</f>
        <v>10</v>
      </c>
      <c r="I47" s="1"/>
      <c r="J47" s="5">
        <f t="shared" si="29"/>
        <v>5.9530896535301824E-4</v>
      </c>
      <c r="K47" s="1"/>
      <c r="L47" s="1">
        <f t="shared" si="30"/>
        <v>-10</v>
      </c>
      <c r="M47" s="1"/>
      <c r="N47" s="5">
        <f t="shared" si="31"/>
        <v>-1</v>
      </c>
      <c r="O47" s="14"/>
      <c r="P47" s="1">
        <f>SUM(OSRRefP22_4x_0)</f>
        <v>0</v>
      </c>
      <c r="Q47" s="1"/>
      <c r="R47" s="5">
        <f t="shared" si="32"/>
        <v>0</v>
      </c>
      <c r="S47" s="1"/>
      <c r="T47" s="1">
        <f>SUM(OSRRefT22_4x_0)</f>
        <v>10</v>
      </c>
      <c r="U47" s="1"/>
      <c r="V47" s="5">
        <f t="shared" si="33"/>
        <v>5.9530896535301824E-4</v>
      </c>
      <c r="W47" s="1"/>
      <c r="X47" s="1">
        <f t="shared" si="34"/>
        <v>-10</v>
      </c>
      <c r="Y47" s="1"/>
      <c r="Z47" s="5">
        <f t="shared" si="35"/>
        <v>-1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28"/>
        <v>0</v>
      </c>
      <c r="G48" s="2"/>
      <c r="H48" s="6">
        <v>10</v>
      </c>
      <c r="I48" s="2"/>
      <c r="J48" s="7">
        <f t="shared" si="29"/>
        <v>5.9530896535301824E-4</v>
      </c>
      <c r="K48" s="2"/>
      <c r="L48" s="6">
        <f t="shared" si="30"/>
        <v>-10</v>
      </c>
      <c r="M48" s="2"/>
      <c r="N48" s="7">
        <f t="shared" si="31"/>
        <v>-1</v>
      </c>
      <c r="O48" s="11"/>
      <c r="P48" s="6"/>
      <c r="Q48" s="2"/>
      <c r="R48" s="7">
        <f t="shared" si="32"/>
        <v>0</v>
      </c>
      <c r="S48" s="2"/>
      <c r="T48" s="6">
        <v>10</v>
      </c>
      <c r="U48" s="2"/>
      <c r="V48" s="7">
        <f t="shared" si="33"/>
        <v>5.9530896535301824E-4</v>
      </c>
      <c r="W48" s="2"/>
      <c r="X48" s="6">
        <f t="shared" si="34"/>
        <v>-10</v>
      </c>
      <c r="Y48" s="2"/>
      <c r="Z48" s="7">
        <f t="shared" si="35"/>
        <v>-1</v>
      </c>
    </row>
    <row r="49" spans="1:26" s="29" customFormat="1" outlineLevel="1" collapsed="1" x14ac:dyDescent="0.25">
      <c r="A49" s="28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213.02</v>
      </c>
      <c r="E49" s="1"/>
      <c r="F49" s="5">
        <f t="shared" si="28"/>
        <v>0</v>
      </c>
      <c r="G49" s="1"/>
      <c r="H49" s="1">
        <f>SUM(OSRRefH22_5x_0)</f>
        <v>213</v>
      </c>
      <c r="I49" s="1"/>
      <c r="J49" s="5">
        <f t="shared" si="29"/>
        <v>1.2680080962019289E-2</v>
      </c>
      <c r="K49" s="1"/>
      <c r="L49" s="1">
        <f t="shared" si="30"/>
        <v>2.0000000000010232E-2</v>
      </c>
      <c r="M49" s="1"/>
      <c r="N49" s="5">
        <f t="shared" si="31"/>
        <v>9.3896713615071505E-5</v>
      </c>
      <c r="O49" s="14"/>
      <c r="P49" s="1">
        <f>SUM(OSRRefP22_5x_0)</f>
        <v>426.04</v>
      </c>
      <c r="Q49" s="1"/>
      <c r="R49" s="5">
        <f t="shared" si="32"/>
        <v>0</v>
      </c>
      <c r="S49" s="1"/>
      <c r="T49" s="1">
        <f>SUM(OSRRefT22_5x_0)</f>
        <v>426</v>
      </c>
      <c r="U49" s="1"/>
      <c r="V49" s="5">
        <f t="shared" si="33"/>
        <v>2.5360161924038577E-2</v>
      </c>
      <c r="W49" s="1"/>
      <c r="X49" s="1">
        <f t="shared" si="34"/>
        <v>4.0000000000020464E-2</v>
      </c>
      <c r="Y49" s="1"/>
      <c r="Z49" s="5">
        <f t="shared" si="35"/>
        <v>9.3896713615071505E-5</v>
      </c>
    </row>
    <row r="50" spans="1:26" s="24" customFormat="1" hidden="1" outlineLevel="2" x14ac:dyDescent="0.25">
      <c r="A50" s="27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213.02</v>
      </c>
      <c r="E50" s="2"/>
      <c r="F50" s="7">
        <f t="shared" si="28"/>
        <v>0</v>
      </c>
      <c r="G50" s="2"/>
      <c r="H50" s="6">
        <v>213</v>
      </c>
      <c r="I50" s="2"/>
      <c r="J50" s="7">
        <f t="shared" si="29"/>
        <v>1.2680080962019289E-2</v>
      </c>
      <c r="K50" s="2"/>
      <c r="L50" s="6">
        <f t="shared" si="30"/>
        <v>2.0000000000010232E-2</v>
      </c>
      <c r="M50" s="2"/>
      <c r="N50" s="7">
        <f t="shared" si="31"/>
        <v>9.3896713615071505E-5</v>
      </c>
      <c r="O50" s="11"/>
      <c r="P50" s="6">
        <v>426.04</v>
      </c>
      <c r="Q50" s="2"/>
      <c r="R50" s="7">
        <f t="shared" si="32"/>
        <v>0</v>
      </c>
      <c r="S50" s="2"/>
      <c r="T50" s="6">
        <v>426</v>
      </c>
      <c r="U50" s="2"/>
      <c r="V50" s="7">
        <f t="shared" si="33"/>
        <v>2.5360161924038577E-2</v>
      </c>
      <c r="W50" s="2"/>
      <c r="X50" s="6">
        <f t="shared" si="34"/>
        <v>4.0000000000020464E-2</v>
      </c>
      <c r="Y50" s="2"/>
      <c r="Z50" s="7">
        <f t="shared" si="35"/>
        <v>9.3896713615071505E-5</v>
      </c>
    </row>
    <row r="51" spans="1:26" s="29" customFormat="1" outlineLevel="1" collapsed="1" x14ac:dyDescent="0.25">
      <c r="A51" s="28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SUM(OSRRefD22_6x_0)</f>
        <v>0</v>
      </c>
      <c r="E51" s="1"/>
      <c r="F51" s="5">
        <f t="shared" si="28"/>
        <v>0</v>
      </c>
      <c r="G51" s="1"/>
      <c r="H51" s="1">
        <f>SUM(OSRRefH22_6x_0)</f>
        <v>2673</v>
      </c>
      <c r="I51" s="1"/>
      <c r="J51" s="5">
        <f t="shared" si="29"/>
        <v>0.15912608643886178</v>
      </c>
      <c r="K51" s="1"/>
      <c r="L51" s="1">
        <f t="shared" si="30"/>
        <v>-2673</v>
      </c>
      <c r="M51" s="1"/>
      <c r="N51" s="5">
        <f t="shared" si="31"/>
        <v>-1</v>
      </c>
      <c r="O51" s="14"/>
      <c r="P51" s="1">
        <f>SUM(OSRRefP22_6x_0)</f>
        <v>0</v>
      </c>
      <c r="Q51" s="1"/>
      <c r="R51" s="5">
        <f t="shared" si="32"/>
        <v>0</v>
      </c>
      <c r="S51" s="1"/>
      <c r="T51" s="1">
        <f>SUM(OSRRefT22_6x_0)</f>
        <v>2673</v>
      </c>
      <c r="U51" s="1"/>
      <c r="V51" s="5">
        <f t="shared" si="33"/>
        <v>0.15912608643886178</v>
      </c>
      <c r="W51" s="1"/>
      <c r="X51" s="1">
        <f t="shared" si="34"/>
        <v>-2673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"6399", " - ", "DONATION-ON CAMPUS")</f>
        <v xml:space="preserve">          6399 - DONATION-ON CAMPUS</v>
      </c>
      <c r="C52" s="11"/>
      <c r="D52" s="6"/>
      <c r="E52" s="2"/>
      <c r="F52" s="7">
        <f t="shared" si="28"/>
        <v>0</v>
      </c>
      <c r="G52" s="2"/>
      <c r="H52" s="6">
        <v>2673</v>
      </c>
      <c r="I52" s="2"/>
      <c r="J52" s="7">
        <f t="shared" si="29"/>
        <v>0.15912608643886178</v>
      </c>
      <c r="K52" s="2"/>
      <c r="L52" s="6">
        <f t="shared" si="30"/>
        <v>-2673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2673</v>
      </c>
      <c r="U52" s="2"/>
      <c r="V52" s="7">
        <f t="shared" si="33"/>
        <v>0.15912608643886178</v>
      </c>
      <c r="W52" s="2"/>
      <c r="X52" s="6">
        <f t="shared" si="34"/>
        <v>-2673</v>
      </c>
      <c r="Y52" s="2"/>
      <c r="Z52" s="7">
        <f t="shared" si="35"/>
        <v>-1</v>
      </c>
    </row>
    <row r="53" spans="1:26" s="29" customFormat="1" outlineLevel="1" collapsed="1" x14ac:dyDescent="0.25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SUM(OSRRefD22_7x_0)</f>
        <v>0</v>
      </c>
      <c r="E53" s="1"/>
      <c r="F53" s="5">
        <f t="shared" si="28"/>
        <v>0</v>
      </c>
      <c r="G53" s="1"/>
      <c r="H53" s="1">
        <f>SUM(OSRRefH22_7x_0)</f>
        <v>50</v>
      </c>
      <c r="I53" s="1"/>
      <c r="J53" s="5">
        <f t="shared" si="29"/>
        <v>2.9765448267650911E-3</v>
      </c>
      <c r="K53" s="1"/>
      <c r="L53" s="1">
        <f t="shared" si="30"/>
        <v>-50</v>
      </c>
      <c r="M53" s="1"/>
      <c r="N53" s="5">
        <f t="shared" si="31"/>
        <v>-1</v>
      </c>
      <c r="O53" s="14"/>
      <c r="P53" s="1">
        <f>SUM(OSRRefP22_7x_0)</f>
        <v>0</v>
      </c>
      <c r="Q53" s="1"/>
      <c r="R53" s="5">
        <f t="shared" si="32"/>
        <v>0</v>
      </c>
      <c r="S53" s="1"/>
      <c r="T53" s="1">
        <f>SUM(OSRRefT22_7x_0)</f>
        <v>50</v>
      </c>
      <c r="U53" s="1"/>
      <c r="V53" s="5">
        <f t="shared" si="33"/>
        <v>2.9765448267650911E-3</v>
      </c>
      <c r="W53" s="1"/>
      <c r="X53" s="1">
        <f t="shared" si="34"/>
        <v>-50</v>
      </c>
      <c r="Y53" s="1"/>
      <c r="Z53" s="5">
        <f t="shared" si="35"/>
        <v>-1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2.9765448267650911E-3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50</v>
      </c>
      <c r="U54" s="2"/>
      <c r="V54" s="7">
        <f t="shared" si="33"/>
        <v>2.9765448267650911E-3</v>
      </c>
      <c r="W54" s="2"/>
      <c r="X54" s="6">
        <f t="shared" si="34"/>
        <v>-50</v>
      </c>
      <c r="Y54" s="2"/>
      <c r="Z54" s="7">
        <f t="shared" si="35"/>
        <v>-1</v>
      </c>
    </row>
    <row r="55" spans="1:26" s="29" customFormat="1" outlineLevel="1" collapsed="1" x14ac:dyDescent="0.25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SUM(OSRRefD22_8x_0)</f>
        <v>20</v>
      </c>
      <c r="E55" s="1"/>
      <c r="F55" s="5">
        <f t="shared" si="28"/>
        <v>0</v>
      </c>
      <c r="G55" s="1"/>
      <c r="H55" s="1">
        <f>SUM(OSRRefH22_8x_0)</f>
        <v>0</v>
      </c>
      <c r="I55" s="1"/>
      <c r="J55" s="5">
        <f t="shared" si="29"/>
        <v>0</v>
      </c>
      <c r="K55" s="1"/>
      <c r="L55" s="1">
        <f t="shared" si="30"/>
        <v>20</v>
      </c>
      <c r="M55" s="1"/>
      <c r="N55" s="5">
        <f t="shared" si="31"/>
        <v>0</v>
      </c>
      <c r="O55" s="14"/>
      <c r="P55" s="1">
        <f>SUM(OSRRefP22_8x_0)</f>
        <v>20</v>
      </c>
      <c r="Q55" s="1"/>
      <c r="R55" s="5">
        <f t="shared" si="32"/>
        <v>0</v>
      </c>
      <c r="S55" s="1"/>
      <c r="T55" s="1">
        <f>SUM(OSRRefT22_8x_0)</f>
        <v>0</v>
      </c>
      <c r="U55" s="1"/>
      <c r="V55" s="5">
        <f t="shared" si="33"/>
        <v>0</v>
      </c>
      <c r="W55" s="1"/>
      <c r="X55" s="1">
        <f t="shared" si="34"/>
        <v>20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20</v>
      </c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20</v>
      </c>
      <c r="M56" s="2"/>
      <c r="N56" s="7">
        <f t="shared" si="31"/>
        <v>0</v>
      </c>
      <c r="O56" s="11"/>
      <c r="P56" s="6">
        <v>20</v>
      </c>
      <c r="Q56" s="2"/>
      <c r="R56" s="7">
        <f t="shared" si="32"/>
        <v>0</v>
      </c>
      <c r="S56" s="2"/>
      <c r="T56" s="6"/>
      <c r="U56" s="2"/>
      <c r="V56" s="7">
        <f t="shared" si="33"/>
        <v>0</v>
      </c>
      <c r="W56" s="2"/>
      <c r="X56" s="6">
        <f t="shared" si="34"/>
        <v>20</v>
      </c>
      <c r="Y56" s="2"/>
      <c r="Z56" s="7">
        <f t="shared" si="35"/>
        <v>0</v>
      </c>
    </row>
    <row r="57" spans="1:26" s="29" customFormat="1" outlineLevel="1" collapsed="1" x14ac:dyDescent="0.25">
      <c r="A57" s="28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10</v>
      </c>
      <c r="I57" s="1"/>
      <c r="J57" s="5">
        <f t="shared" si="29"/>
        <v>5.9530896535301824E-4</v>
      </c>
      <c r="K57" s="1"/>
      <c r="L57" s="1">
        <f t="shared" si="30"/>
        <v>-10</v>
      </c>
      <c r="M57" s="1"/>
      <c r="N57" s="5">
        <f t="shared" si="31"/>
        <v>-1</v>
      </c>
      <c r="O57" s="14"/>
      <c r="P57" s="1">
        <f>SUM(OSRRefP22_9x_0)</f>
        <v>1439.55</v>
      </c>
      <c r="Q57" s="1"/>
      <c r="R57" s="5">
        <f t="shared" si="32"/>
        <v>0</v>
      </c>
      <c r="S57" s="1"/>
      <c r="T57" s="1">
        <f>SUM(OSRRefT22_9x_0)</f>
        <v>1610</v>
      </c>
      <c r="U57" s="1"/>
      <c r="V57" s="5">
        <f t="shared" si="33"/>
        <v>9.5844743421835937E-2</v>
      </c>
      <c r="W57" s="1"/>
      <c r="X57" s="1">
        <f t="shared" si="34"/>
        <v>-170.45000000000005</v>
      </c>
      <c r="Y57" s="1"/>
      <c r="Z57" s="5">
        <f t="shared" si="35"/>
        <v>-0.10586956521739133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28"/>
        <v>0</v>
      </c>
      <c r="G58" s="2"/>
      <c r="H58" s="6">
        <v>10</v>
      </c>
      <c r="I58" s="2"/>
      <c r="J58" s="7">
        <f t="shared" si="29"/>
        <v>5.9530896535301824E-4</v>
      </c>
      <c r="K58" s="2"/>
      <c r="L58" s="6">
        <f t="shared" si="30"/>
        <v>-10</v>
      </c>
      <c r="M58" s="2"/>
      <c r="N58" s="7">
        <f t="shared" si="31"/>
        <v>-1</v>
      </c>
      <c r="O58" s="11"/>
      <c r="P58" s="6">
        <v>1439.55</v>
      </c>
      <c r="Q58" s="2"/>
      <c r="R58" s="7">
        <f t="shared" si="32"/>
        <v>0</v>
      </c>
      <c r="S58" s="2"/>
      <c r="T58" s="6">
        <v>1610</v>
      </c>
      <c r="U58" s="2"/>
      <c r="V58" s="7">
        <f t="shared" si="33"/>
        <v>9.5844743421835937E-2</v>
      </c>
      <c r="W58" s="2"/>
      <c r="X58" s="6">
        <f t="shared" si="34"/>
        <v>-170.45000000000005</v>
      </c>
      <c r="Y58" s="2"/>
      <c r="Z58" s="7">
        <f t="shared" si="35"/>
        <v>-0.10586956521739133</v>
      </c>
    </row>
    <row r="59" spans="1:26" s="29" customFormat="1" outlineLevel="1" collapsed="1" x14ac:dyDescent="0.25">
      <c r="A59" s="28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SUM(OSRRefD22_10x_0)</f>
        <v>5.9</v>
      </c>
      <c r="E59" s="1"/>
      <c r="F59" s="5">
        <f t="shared" si="28"/>
        <v>0</v>
      </c>
      <c r="G59" s="1"/>
      <c r="H59" s="1">
        <f>SUM(OSRRefH22_10x_0)</f>
        <v>7</v>
      </c>
      <c r="I59" s="1"/>
      <c r="J59" s="5">
        <f t="shared" si="29"/>
        <v>4.1671627574711278E-4</v>
      </c>
      <c r="K59" s="1"/>
      <c r="L59" s="1">
        <f t="shared" si="30"/>
        <v>-1.0999999999999996</v>
      </c>
      <c r="M59" s="1"/>
      <c r="N59" s="5">
        <f t="shared" si="31"/>
        <v>-0.15714285714285708</v>
      </c>
      <c r="O59" s="14"/>
      <c r="P59" s="1">
        <f>SUM(OSRRefP22_10x_0)</f>
        <v>11.8</v>
      </c>
      <c r="Q59" s="1"/>
      <c r="R59" s="5">
        <f t="shared" si="32"/>
        <v>0</v>
      </c>
      <c r="S59" s="1"/>
      <c r="T59" s="1">
        <f>SUM(OSRRefT22_10x_0)</f>
        <v>14</v>
      </c>
      <c r="U59" s="1"/>
      <c r="V59" s="5">
        <f t="shared" si="33"/>
        <v>8.3343255149422556E-4</v>
      </c>
      <c r="W59" s="1"/>
      <c r="X59" s="1">
        <f t="shared" si="34"/>
        <v>-2.1999999999999993</v>
      </c>
      <c r="Y59" s="1"/>
      <c r="Z59" s="5">
        <f t="shared" si="35"/>
        <v>-0.15714285714285708</v>
      </c>
    </row>
    <row r="60" spans="1:26" s="24" customFormat="1" hidden="1" outlineLevel="2" x14ac:dyDescent="0.25">
      <c r="A60" s="27"/>
      <c r="B60" s="11" t="str">
        <f>CONCATENATE("          ", "6314", " - ", "LIABILITY INSURANCE")</f>
        <v xml:space="preserve">          6314 - LIABILITY INSURANCE</v>
      </c>
      <c r="C60" s="11"/>
      <c r="D60" s="6">
        <v>5.9</v>
      </c>
      <c r="E60" s="2"/>
      <c r="F60" s="7">
        <f t="shared" si="28"/>
        <v>0</v>
      </c>
      <c r="G60" s="2"/>
      <c r="H60" s="6">
        <v>7</v>
      </c>
      <c r="I60" s="2"/>
      <c r="J60" s="7">
        <f t="shared" si="29"/>
        <v>4.1671627574711278E-4</v>
      </c>
      <c r="K60" s="2"/>
      <c r="L60" s="6">
        <f t="shared" si="30"/>
        <v>-1.0999999999999996</v>
      </c>
      <c r="M60" s="2"/>
      <c r="N60" s="7">
        <f t="shared" si="31"/>
        <v>-0.15714285714285708</v>
      </c>
      <c r="O60" s="11"/>
      <c r="P60" s="6">
        <v>11.8</v>
      </c>
      <c r="Q60" s="2"/>
      <c r="R60" s="7">
        <f t="shared" si="32"/>
        <v>0</v>
      </c>
      <c r="S60" s="2"/>
      <c r="T60" s="6">
        <v>14</v>
      </c>
      <c r="U60" s="2"/>
      <c r="V60" s="7">
        <f t="shared" si="33"/>
        <v>8.3343255149422556E-4</v>
      </c>
      <c r="W60" s="2"/>
      <c r="X60" s="6">
        <f t="shared" si="34"/>
        <v>-2.1999999999999993</v>
      </c>
      <c r="Y60" s="2"/>
      <c r="Z60" s="7">
        <f t="shared" si="35"/>
        <v>-0.15714285714285708</v>
      </c>
    </row>
    <row r="61" spans="1:26" s="29" customFormat="1" outlineLevel="1" collapsed="1" x14ac:dyDescent="0.25">
      <c r="A61" s="28"/>
      <c r="B61" s="14" t="str">
        <f>CONCATENATE("     ","R/H Commissions                                   ")</f>
        <v xml:space="preserve">     R/H Commissions                                   </v>
      </c>
      <c r="C61" s="14"/>
      <c r="D61" s="1">
        <f>SUM(OSRRefD22_11x_0)</f>
        <v>0</v>
      </c>
      <c r="E61" s="1"/>
      <c r="F61" s="5">
        <f t="shared" si="28"/>
        <v>0</v>
      </c>
      <c r="G61" s="1"/>
      <c r="H61" s="1">
        <f>SUM(OSRRefH22_11x_0)</f>
        <v>1344</v>
      </c>
      <c r="I61" s="1"/>
      <c r="J61" s="5">
        <f t="shared" si="29"/>
        <v>8.0009524943445653E-2</v>
      </c>
      <c r="K61" s="1"/>
      <c r="L61" s="1">
        <f t="shared" si="30"/>
        <v>-1344</v>
      </c>
      <c r="M61" s="1"/>
      <c r="N61" s="5">
        <f t="shared" si="31"/>
        <v>-1</v>
      </c>
      <c r="O61" s="14"/>
      <c r="P61" s="1">
        <f>SUM(OSRRefP22_11x_0)</f>
        <v>0</v>
      </c>
      <c r="Q61" s="1"/>
      <c r="R61" s="5">
        <f t="shared" si="32"/>
        <v>0</v>
      </c>
      <c r="S61" s="1"/>
      <c r="T61" s="1">
        <f>SUM(OSRRefT22_11x_0)</f>
        <v>1344</v>
      </c>
      <c r="U61" s="1"/>
      <c r="V61" s="5">
        <f t="shared" si="33"/>
        <v>8.0009524943445653E-2</v>
      </c>
      <c r="W61" s="1"/>
      <c r="X61" s="1">
        <f t="shared" si="34"/>
        <v>-1344</v>
      </c>
      <c r="Y61" s="1"/>
      <c r="Z61" s="5">
        <f t="shared" si="35"/>
        <v>-1</v>
      </c>
    </row>
    <row r="62" spans="1:26" s="24" customFormat="1" hidden="1" outlineLevel="2" x14ac:dyDescent="0.25">
      <c r="A62" s="27"/>
      <c r="B62" s="11" t="str">
        <f>CONCATENATE("          ", "6387", " - ", "COMMISSION DUE HOUSING")</f>
        <v xml:space="preserve">          6387 - COMMISSION DUE HOUSING</v>
      </c>
      <c r="C62" s="11"/>
      <c r="D62" s="6"/>
      <c r="E62" s="2"/>
      <c r="F62" s="7">
        <f t="shared" si="28"/>
        <v>0</v>
      </c>
      <c r="G62" s="2"/>
      <c r="H62" s="6">
        <v>1344</v>
      </c>
      <c r="I62" s="2"/>
      <c r="J62" s="7">
        <f t="shared" si="29"/>
        <v>8.0009524943445653E-2</v>
      </c>
      <c r="K62" s="2"/>
      <c r="L62" s="6">
        <f t="shared" si="30"/>
        <v>-1344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1344</v>
      </c>
      <c r="U62" s="2"/>
      <c r="V62" s="7">
        <f t="shared" si="33"/>
        <v>8.0009524943445653E-2</v>
      </c>
      <c r="W62" s="2"/>
      <c r="X62" s="6">
        <f t="shared" si="34"/>
        <v>-1344</v>
      </c>
      <c r="Y62" s="2"/>
      <c r="Z62" s="7">
        <f t="shared" si="35"/>
        <v>-1</v>
      </c>
    </row>
    <row r="63" spans="1:26" s="29" customFormat="1" outlineLevel="1" collapsed="1" x14ac:dyDescent="0.25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SUM(OSRRefD22_12x_0)</f>
        <v>0</v>
      </c>
      <c r="E63" s="1"/>
      <c r="F63" s="5">
        <f t="shared" si="28"/>
        <v>0</v>
      </c>
      <c r="G63" s="1"/>
      <c r="H63" s="1">
        <f>SUM(OSRRefH22_12x_0)</f>
        <v>20</v>
      </c>
      <c r="I63" s="1"/>
      <c r="J63" s="5">
        <f t="shared" si="29"/>
        <v>1.1906179307060365E-3</v>
      </c>
      <c r="K63" s="1"/>
      <c r="L63" s="1">
        <f t="shared" si="30"/>
        <v>-20</v>
      </c>
      <c r="M63" s="1"/>
      <c r="N63" s="5">
        <f t="shared" si="31"/>
        <v>-1</v>
      </c>
      <c r="O63" s="14"/>
      <c r="P63" s="1">
        <f>SUM(OSRRefP22_12x_0)</f>
        <v>0</v>
      </c>
      <c r="Q63" s="1"/>
      <c r="R63" s="5">
        <f t="shared" si="32"/>
        <v>0</v>
      </c>
      <c r="S63" s="1"/>
      <c r="T63" s="1">
        <f>SUM(OSRRefT22_12x_0)</f>
        <v>40</v>
      </c>
      <c r="U63" s="1"/>
      <c r="V63" s="5">
        <f t="shared" si="33"/>
        <v>2.381235861412073E-3</v>
      </c>
      <c r="W63" s="1"/>
      <c r="X63" s="1">
        <f t="shared" si="34"/>
        <v>-40</v>
      </c>
      <c r="Y63" s="1"/>
      <c r="Z63" s="5">
        <f t="shared" si="35"/>
        <v>-1</v>
      </c>
    </row>
    <row r="64" spans="1:26" s="24" customFormat="1" hidden="1" outlineLevel="2" x14ac:dyDescent="0.25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28"/>
        <v>0</v>
      </c>
      <c r="G64" s="2"/>
      <c r="H64" s="6">
        <v>20</v>
      </c>
      <c r="I64" s="2"/>
      <c r="J64" s="7">
        <f t="shared" si="29"/>
        <v>1.1906179307060365E-3</v>
      </c>
      <c r="K64" s="2"/>
      <c r="L64" s="6">
        <f t="shared" si="30"/>
        <v>-20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40</v>
      </c>
      <c r="U64" s="2"/>
      <c r="V64" s="7">
        <f t="shared" si="33"/>
        <v>2.381235861412073E-3</v>
      </c>
      <c r="W64" s="2"/>
      <c r="X64" s="6">
        <f t="shared" si="34"/>
        <v>-40</v>
      </c>
      <c r="Y64" s="2"/>
      <c r="Z64" s="7">
        <f t="shared" si="35"/>
        <v>-1</v>
      </c>
    </row>
    <row r="65" spans="1:26" s="29" customFormat="1" outlineLevel="1" collapsed="1" x14ac:dyDescent="0.25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71.77</v>
      </c>
      <c r="E65" s="1"/>
      <c r="F65" s="5">
        <f t="shared" si="28"/>
        <v>0</v>
      </c>
      <c r="G65" s="1"/>
      <c r="H65" s="1">
        <f>SUM(OSRRefH22_13x_0)</f>
        <v>6247</v>
      </c>
      <c r="I65" s="1"/>
      <c r="J65" s="5">
        <f t="shared" si="29"/>
        <v>0.37188951065603049</v>
      </c>
      <c r="K65" s="1"/>
      <c r="L65" s="1">
        <f t="shared" si="30"/>
        <v>-6175.23</v>
      </c>
      <c r="M65" s="1"/>
      <c r="N65" s="5">
        <f t="shared" si="31"/>
        <v>-0.98851128541700006</v>
      </c>
      <c r="O65" s="14"/>
      <c r="P65" s="1">
        <f>SUM(OSRRefP22_13x_0)</f>
        <v>741.41</v>
      </c>
      <c r="Q65" s="1"/>
      <c r="R65" s="5">
        <f t="shared" si="32"/>
        <v>0</v>
      </c>
      <c r="S65" s="1"/>
      <c r="T65" s="1">
        <f>SUM(OSRRefT22_13x_0)</f>
        <v>12494</v>
      </c>
      <c r="U65" s="1"/>
      <c r="V65" s="5">
        <f t="shared" si="33"/>
        <v>0.74377902131206097</v>
      </c>
      <c r="W65" s="1"/>
      <c r="X65" s="1">
        <f t="shared" si="34"/>
        <v>-11752.59</v>
      </c>
      <c r="Y65" s="1"/>
      <c r="Z65" s="5">
        <f t="shared" si="35"/>
        <v>-0.94065871618376817</v>
      </c>
    </row>
    <row r="66" spans="1:26" s="24" customFormat="1" hidden="1" outlineLevel="2" x14ac:dyDescent="0.25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71.77</v>
      </c>
      <c r="E66" s="2"/>
      <c r="F66" s="7">
        <f t="shared" si="28"/>
        <v>0</v>
      </c>
      <c r="G66" s="2"/>
      <c r="H66" s="6">
        <v>850</v>
      </c>
      <c r="I66" s="2"/>
      <c r="J66" s="7">
        <f t="shared" si="29"/>
        <v>5.0601262055006549E-2</v>
      </c>
      <c r="K66" s="2"/>
      <c r="L66" s="6">
        <f t="shared" si="30"/>
        <v>-778.23</v>
      </c>
      <c r="M66" s="2"/>
      <c r="N66" s="7">
        <f t="shared" si="31"/>
        <v>-0.91556470588235295</v>
      </c>
      <c r="O66" s="11"/>
      <c r="P66" s="6">
        <v>741.41</v>
      </c>
      <c r="Q66" s="2"/>
      <c r="R66" s="7">
        <f t="shared" si="32"/>
        <v>0</v>
      </c>
      <c r="S66" s="2"/>
      <c r="T66" s="6">
        <v>1700</v>
      </c>
      <c r="U66" s="2"/>
      <c r="V66" s="7">
        <f t="shared" si="33"/>
        <v>0.1012025241100131</v>
      </c>
      <c r="W66" s="2"/>
      <c r="X66" s="6">
        <f t="shared" si="34"/>
        <v>-958.59</v>
      </c>
      <c r="Y66" s="2"/>
      <c r="Z66" s="7">
        <f t="shared" si="35"/>
        <v>-0.56387647058823531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/>
      <c r="E67" s="2"/>
      <c r="F67" s="7">
        <f t="shared" si="28"/>
        <v>0</v>
      </c>
      <c r="G67" s="2"/>
      <c r="H67" s="6">
        <v>3897</v>
      </c>
      <c r="I67" s="2"/>
      <c r="J67" s="7">
        <f t="shared" si="29"/>
        <v>0.23199190379807119</v>
      </c>
      <c r="K67" s="2"/>
      <c r="L67" s="6">
        <f t="shared" si="30"/>
        <v>-3897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7794</v>
      </c>
      <c r="U67" s="2"/>
      <c r="V67" s="7">
        <f t="shared" si="33"/>
        <v>0.46398380759614238</v>
      </c>
      <c r="W67" s="2"/>
      <c r="X67" s="6">
        <f t="shared" si="34"/>
        <v>-7794</v>
      </c>
      <c r="Y67" s="2"/>
      <c r="Z67" s="7">
        <f t="shared" si="35"/>
        <v>-1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/>
      <c r="E68" s="2"/>
      <c r="F68" s="7">
        <f t="shared" si="28"/>
        <v>0</v>
      </c>
      <c r="G68" s="2"/>
      <c r="H68" s="6">
        <v>1500</v>
      </c>
      <c r="I68" s="2"/>
      <c r="J68" s="7">
        <f t="shared" si="29"/>
        <v>8.9296344802952732E-2</v>
      </c>
      <c r="K68" s="2"/>
      <c r="L68" s="6">
        <f t="shared" si="30"/>
        <v>-1500</v>
      </c>
      <c r="M68" s="2"/>
      <c r="N68" s="7">
        <f t="shared" si="31"/>
        <v>-1</v>
      </c>
      <c r="O68" s="11"/>
      <c r="P68" s="6"/>
      <c r="Q68" s="2"/>
      <c r="R68" s="7">
        <f t="shared" si="32"/>
        <v>0</v>
      </c>
      <c r="S68" s="2"/>
      <c r="T68" s="6">
        <v>3000</v>
      </c>
      <c r="U68" s="2"/>
      <c r="V68" s="7">
        <f t="shared" si="33"/>
        <v>0.17859268960590546</v>
      </c>
      <c r="W68" s="2"/>
      <c r="X68" s="6">
        <f t="shared" si="34"/>
        <v>-3000</v>
      </c>
      <c r="Y68" s="2"/>
      <c r="Z68" s="7">
        <f t="shared" si="35"/>
        <v>-1</v>
      </c>
    </row>
    <row r="69" spans="1:26" s="29" customFormat="1" outlineLevel="1" collapsed="1" x14ac:dyDescent="0.25">
      <c r="A69" s="28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SUM(OSRRefD22_14x_0)</f>
        <v>57.16</v>
      </c>
      <c r="E69" s="1"/>
      <c r="F69" s="5">
        <f t="shared" ref="F69:F75" si="36">IF(D$12=0,0,D69/D$12)</f>
        <v>0</v>
      </c>
      <c r="G69" s="1"/>
      <c r="H69" s="1">
        <f>SUM(OSRRefH22_14x_0)</f>
        <v>6700</v>
      </c>
      <c r="I69" s="1"/>
      <c r="J69" s="5">
        <f t="shared" ref="J69:J75" si="37">IF(H$12=0,0,H69/H$12)</f>
        <v>0.39885700678652219</v>
      </c>
      <c r="K69" s="1"/>
      <c r="L69" s="1">
        <f t="shared" ref="L69:L75" si="38">+D69-H69</f>
        <v>-6642.84</v>
      </c>
      <c r="M69" s="1"/>
      <c r="N69" s="5">
        <f t="shared" ref="N69:N75" si="39">IF(H69=0,0,L69/H69)</f>
        <v>-0.99146865671641793</v>
      </c>
      <c r="O69" s="14"/>
      <c r="P69" s="1">
        <f>SUM(OSRRefP22_14x_0)</f>
        <v>57.16</v>
      </c>
      <c r="Q69" s="1"/>
      <c r="R69" s="5">
        <f t="shared" ref="R69:R75" si="40">IF(P$12=0,0,P69/P$12)</f>
        <v>0</v>
      </c>
      <c r="S69" s="1"/>
      <c r="T69" s="1">
        <f>SUM(OSRRefT22_14x_0)</f>
        <v>7200</v>
      </c>
      <c r="U69" s="1"/>
      <c r="V69" s="5">
        <f t="shared" ref="V69:V75" si="41">IF(T$12=0,0,T69/T$12)</f>
        <v>0.42862245505417312</v>
      </c>
      <c r="W69" s="1"/>
      <c r="X69" s="1">
        <f t="shared" ref="X69:X75" si="42">+P69-T69</f>
        <v>-7142.84</v>
      </c>
      <c r="Y69" s="1"/>
      <c r="Z69" s="5">
        <f t="shared" ref="Z69:Z75" si="43">IF(T69=0,0,X69/T69)</f>
        <v>-0.99206111111111117</v>
      </c>
    </row>
    <row r="70" spans="1:26" s="24" customFormat="1" hidden="1" outlineLevel="2" x14ac:dyDescent="0.25">
      <c r="A70" s="27"/>
      <c r="B70" s="11" t="str">
        <f>CONCATENATE("          ", "6235", " - ", "COVID-19 EXPENSES")</f>
        <v xml:space="preserve">          6235 - COVID-19 EXPENSES</v>
      </c>
      <c r="C70" s="11"/>
      <c r="D70" s="6"/>
      <c r="E70" s="2"/>
      <c r="F70" s="7">
        <f t="shared" si="36"/>
        <v>0</v>
      </c>
      <c r="G70" s="2"/>
      <c r="H70" s="6">
        <v>3000</v>
      </c>
      <c r="I70" s="2"/>
      <c r="J70" s="7">
        <f t="shared" si="37"/>
        <v>0.17859268960590546</v>
      </c>
      <c r="K70" s="2"/>
      <c r="L70" s="6">
        <f t="shared" si="38"/>
        <v>-3000</v>
      </c>
      <c r="M70" s="2"/>
      <c r="N70" s="7">
        <f t="shared" si="39"/>
        <v>-1</v>
      </c>
      <c r="O70" s="11"/>
      <c r="P70" s="6"/>
      <c r="Q70" s="2"/>
      <c r="R70" s="7">
        <f t="shared" si="40"/>
        <v>0</v>
      </c>
      <c r="S70" s="2"/>
      <c r="T70" s="6">
        <v>3000</v>
      </c>
      <c r="U70" s="2"/>
      <c r="V70" s="7">
        <f t="shared" si="41"/>
        <v>0.17859268960590546</v>
      </c>
      <c r="W70" s="2"/>
      <c r="X70" s="6">
        <f t="shared" si="42"/>
        <v>-3000</v>
      </c>
      <c r="Y70" s="2"/>
      <c r="Z70" s="7">
        <f t="shared" si="43"/>
        <v>-1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/>
      <c r="E71" s="2"/>
      <c r="F71" s="7">
        <f t="shared" si="36"/>
        <v>0</v>
      </c>
      <c r="G71" s="2"/>
      <c r="H71" s="6">
        <v>3000</v>
      </c>
      <c r="I71" s="2"/>
      <c r="J71" s="7">
        <f t="shared" si="37"/>
        <v>0.17859268960590546</v>
      </c>
      <c r="K71" s="2"/>
      <c r="L71" s="6">
        <f t="shared" si="38"/>
        <v>-3000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3000</v>
      </c>
      <c r="U71" s="2"/>
      <c r="V71" s="7">
        <f t="shared" si="41"/>
        <v>0.17859268960590546</v>
      </c>
      <c r="W71" s="2"/>
      <c r="X71" s="6">
        <f t="shared" si="42"/>
        <v>-3000</v>
      </c>
      <c r="Y71" s="2"/>
      <c r="Z71" s="7">
        <f t="shared" si="43"/>
        <v>-1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/>
      <c r="E72" s="2"/>
      <c r="F72" s="7">
        <f t="shared" si="36"/>
        <v>0</v>
      </c>
      <c r="G72" s="2"/>
      <c r="H72" s="6">
        <v>300</v>
      </c>
      <c r="I72" s="2"/>
      <c r="J72" s="7">
        <f t="shared" si="37"/>
        <v>1.7859268960590546E-2</v>
      </c>
      <c r="K72" s="2"/>
      <c r="L72" s="6">
        <f t="shared" si="38"/>
        <v>-300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300</v>
      </c>
      <c r="U72" s="2"/>
      <c r="V72" s="7">
        <f t="shared" si="41"/>
        <v>1.7859268960590546E-2</v>
      </c>
      <c r="W72" s="2"/>
      <c r="X72" s="6">
        <f t="shared" si="42"/>
        <v>-300</v>
      </c>
      <c r="Y72" s="2"/>
      <c r="Z72" s="7">
        <f t="shared" si="43"/>
        <v>-1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>
        <v>57.16</v>
      </c>
      <c r="E73" s="2"/>
      <c r="F73" s="7">
        <f t="shared" si="36"/>
        <v>0</v>
      </c>
      <c r="G73" s="2"/>
      <c r="H73" s="6">
        <v>250</v>
      </c>
      <c r="I73" s="2"/>
      <c r="J73" s="7">
        <f t="shared" si="37"/>
        <v>1.4882724133825456E-2</v>
      </c>
      <c r="K73" s="2"/>
      <c r="L73" s="6">
        <f t="shared" si="38"/>
        <v>-192.84</v>
      </c>
      <c r="M73" s="2"/>
      <c r="N73" s="7">
        <f t="shared" si="39"/>
        <v>-0.77136000000000005</v>
      </c>
      <c r="O73" s="11"/>
      <c r="P73" s="6">
        <v>57.16</v>
      </c>
      <c r="Q73" s="2"/>
      <c r="R73" s="7">
        <f t="shared" si="40"/>
        <v>0</v>
      </c>
      <c r="S73" s="2"/>
      <c r="T73" s="6">
        <v>250</v>
      </c>
      <c r="U73" s="2"/>
      <c r="V73" s="7">
        <f t="shared" si="41"/>
        <v>1.4882724133825456E-2</v>
      </c>
      <c r="W73" s="2"/>
      <c r="X73" s="6">
        <f t="shared" si="42"/>
        <v>-192.84</v>
      </c>
      <c r="Y73" s="2"/>
      <c r="Z73" s="7">
        <f t="shared" si="43"/>
        <v>-0.77136000000000005</v>
      </c>
    </row>
    <row r="74" spans="1:26" s="24" customFormat="1" hidden="1" outlineLevel="2" x14ac:dyDescent="0.25">
      <c r="A74" s="27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36"/>
        <v>0</v>
      </c>
      <c r="G74" s="2"/>
      <c r="H74" s="6"/>
      <c r="I74" s="2"/>
      <c r="J74" s="7">
        <f t="shared" si="37"/>
        <v>0</v>
      </c>
      <c r="K74" s="2"/>
      <c r="L74" s="6">
        <f t="shared" si="38"/>
        <v>0</v>
      </c>
      <c r="M74" s="2"/>
      <c r="N74" s="7">
        <f t="shared" si="39"/>
        <v>0</v>
      </c>
      <c r="O74" s="11"/>
      <c r="P74" s="6"/>
      <c r="Q74" s="2"/>
      <c r="R74" s="7">
        <f t="shared" si="40"/>
        <v>0</v>
      </c>
      <c r="S74" s="2"/>
      <c r="T74" s="6">
        <v>500</v>
      </c>
      <c r="U74" s="2"/>
      <c r="V74" s="7">
        <f t="shared" si="41"/>
        <v>2.9765448267650912E-2</v>
      </c>
      <c r="W74" s="2"/>
      <c r="X74" s="6">
        <f t="shared" si="42"/>
        <v>-500</v>
      </c>
      <c r="Y74" s="2"/>
      <c r="Z74" s="7">
        <f t="shared" si="43"/>
        <v>-1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36"/>
        <v>0</v>
      </c>
      <c r="G75" s="2"/>
      <c r="H75" s="6">
        <v>150</v>
      </c>
      <c r="I75" s="2"/>
      <c r="J75" s="7">
        <f t="shared" si="37"/>
        <v>8.9296344802952728E-3</v>
      </c>
      <c r="K75" s="2"/>
      <c r="L75" s="6">
        <f t="shared" si="38"/>
        <v>-150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150</v>
      </c>
      <c r="U75" s="2"/>
      <c r="V75" s="7">
        <f t="shared" si="41"/>
        <v>8.9296344802952728E-3</v>
      </c>
      <c r="W75" s="2"/>
      <c r="X75" s="6">
        <f t="shared" si="42"/>
        <v>-150</v>
      </c>
      <c r="Y75" s="2"/>
      <c r="Z75" s="7">
        <f t="shared" si="43"/>
        <v>-1</v>
      </c>
    </row>
    <row r="76" spans="1:26" s="29" customFormat="1" outlineLevel="1" collapsed="1" x14ac:dyDescent="0.25">
      <c r="A76" s="28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SUM(OSRRefD22_15x_0)</f>
        <v>109</v>
      </c>
      <c r="E76" s="1"/>
      <c r="F76" s="5">
        <f t="shared" ref="F76:F78" si="44">IF(D$12=0,0,D76/D$12)</f>
        <v>0</v>
      </c>
      <c r="G76" s="1"/>
      <c r="H76" s="1">
        <f>SUM(OSRRefH22_15x_0)</f>
        <v>140</v>
      </c>
      <c r="I76" s="1"/>
      <c r="J76" s="5">
        <f t="shared" ref="J76:J78" si="45">IF(H$12=0,0,H76/H$12)</f>
        <v>8.3343255149422556E-3</v>
      </c>
      <c r="K76" s="1"/>
      <c r="L76" s="1">
        <f t="shared" ref="L76:L78" si="46">+D76-H76</f>
        <v>-31</v>
      </c>
      <c r="M76" s="1"/>
      <c r="N76" s="5">
        <f t="shared" ref="N76:N78" si="47">IF(H76=0,0,L76/H76)</f>
        <v>-0.22142857142857142</v>
      </c>
      <c r="O76" s="14"/>
      <c r="P76" s="1">
        <f>SUM(OSRRefP22_15x_0)</f>
        <v>218</v>
      </c>
      <c r="Q76" s="1"/>
      <c r="R76" s="5">
        <f t="shared" ref="R76:R78" si="48">IF(P$12=0,0,P76/P$12)</f>
        <v>0</v>
      </c>
      <c r="S76" s="1"/>
      <c r="T76" s="1">
        <f>SUM(OSRRefT22_15x_0)</f>
        <v>280</v>
      </c>
      <c r="U76" s="1"/>
      <c r="V76" s="5">
        <f t="shared" ref="V76:V78" si="49">IF(T$12=0,0,T76/T$12)</f>
        <v>1.6668651029884511E-2</v>
      </c>
      <c r="W76" s="1"/>
      <c r="X76" s="1">
        <f t="shared" ref="X76:X78" si="50">+P76-T76</f>
        <v>-62</v>
      </c>
      <c r="Y76" s="1"/>
      <c r="Z76" s="5">
        <f t="shared" ref="Z76:Z78" si="51">IF(T76=0,0,X76/T76)</f>
        <v>-0.22142857142857142</v>
      </c>
    </row>
    <row r="77" spans="1:26" s="24" customFormat="1" hidden="1" outlineLevel="2" x14ac:dyDescent="0.25">
      <c r="A77" s="27"/>
      <c r="B77" s="11" t="str">
        <f>CONCATENATE("          ", "6303", " - ", "DATA PHONE LINES")</f>
        <v xml:space="preserve">          6303 - DATA PHONE LINES</v>
      </c>
      <c r="C77" s="11"/>
      <c r="D77" s="6"/>
      <c r="E77" s="2"/>
      <c r="F77" s="7">
        <f t="shared" si="44"/>
        <v>0</v>
      </c>
      <c r="G77" s="2"/>
      <c r="H77" s="6">
        <v>140</v>
      </c>
      <c r="I77" s="2"/>
      <c r="J77" s="7">
        <f t="shared" si="45"/>
        <v>8.3343255149422556E-3</v>
      </c>
      <c r="K77" s="2"/>
      <c r="L77" s="6">
        <f t="shared" si="46"/>
        <v>-140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280</v>
      </c>
      <c r="U77" s="2"/>
      <c r="V77" s="7">
        <f t="shared" si="49"/>
        <v>1.6668651029884511E-2</v>
      </c>
      <c r="W77" s="2"/>
      <c r="X77" s="6">
        <f t="shared" si="50"/>
        <v>-280</v>
      </c>
      <c r="Y77" s="2"/>
      <c r="Z77" s="7">
        <f t="shared" si="51"/>
        <v>-1</v>
      </c>
    </row>
    <row r="78" spans="1:26" s="24" customFormat="1" hidden="1" outlineLevel="2" x14ac:dyDescent="0.25">
      <c r="A78" s="27"/>
      <c r="B78" s="11" t="str">
        <f>CONCATENATE("          ", "6309", " - ", "TELEPHONE")</f>
        <v xml:space="preserve">          6309 - TELEPHONE</v>
      </c>
      <c r="C78" s="11"/>
      <c r="D78" s="6">
        <v>109</v>
      </c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109</v>
      </c>
      <c r="M78" s="2"/>
      <c r="N78" s="7">
        <f t="shared" si="47"/>
        <v>0</v>
      </c>
      <c r="O78" s="11"/>
      <c r="P78" s="6">
        <v>218</v>
      </c>
      <c r="Q78" s="2"/>
      <c r="R78" s="7">
        <f t="shared" si="48"/>
        <v>0</v>
      </c>
      <c r="S78" s="2"/>
      <c r="T78" s="6"/>
      <c r="U78" s="2"/>
      <c r="V78" s="7">
        <f t="shared" si="49"/>
        <v>0</v>
      </c>
      <c r="W78" s="2"/>
      <c r="X78" s="6">
        <f t="shared" si="50"/>
        <v>218</v>
      </c>
      <c r="Y78" s="2"/>
      <c r="Z78" s="7">
        <f t="shared" si="51"/>
        <v>0</v>
      </c>
    </row>
    <row r="79" spans="1:26" s="29" customFormat="1" outlineLevel="1" collapsed="1" x14ac:dyDescent="0.25">
      <c r="A79" s="28"/>
      <c r="B79" s="14" t="str">
        <f>CONCATENATE("     ","Training                                          ")</f>
        <v xml:space="preserve">     Training                                          </v>
      </c>
      <c r="C79" s="14"/>
      <c r="D79" s="1">
        <f>SUM(OSRRefD22_16x_0)</f>
        <v>0</v>
      </c>
      <c r="E79" s="1"/>
      <c r="F79" s="5">
        <f t="shared" ref="F79:F80" si="52">IF(D$12=0,0,D79/D$12)</f>
        <v>0</v>
      </c>
      <c r="G79" s="1"/>
      <c r="H79" s="1">
        <f>SUM(OSRRefH22_16x_0)</f>
        <v>200</v>
      </c>
      <c r="I79" s="1"/>
      <c r="J79" s="5">
        <f t="shared" ref="J79:J80" si="53">IF(H$12=0,0,H79/H$12)</f>
        <v>1.1906179307060364E-2</v>
      </c>
      <c r="K79" s="1"/>
      <c r="L79" s="1">
        <f t="shared" ref="L79:L80" si="54">+D79-H79</f>
        <v>-200</v>
      </c>
      <c r="M79" s="1"/>
      <c r="N79" s="5">
        <f t="shared" ref="N79:N80" si="55">IF(H79=0,0,L79/H79)</f>
        <v>-1</v>
      </c>
      <c r="O79" s="14"/>
      <c r="P79" s="1">
        <f>SUM(OSRRefP22_16x_0)</f>
        <v>0</v>
      </c>
      <c r="Q79" s="1"/>
      <c r="R79" s="5">
        <f t="shared" ref="R79:R80" si="56">IF(P$12=0,0,P79/P$12)</f>
        <v>0</v>
      </c>
      <c r="S79" s="1"/>
      <c r="T79" s="1">
        <f>SUM(OSRRefT22_16x_0)</f>
        <v>400</v>
      </c>
      <c r="U79" s="1"/>
      <c r="V79" s="5">
        <f t="shared" ref="V79:V80" si="57">IF(T$12=0,0,T79/T$12)</f>
        <v>2.3812358614120729E-2</v>
      </c>
      <c r="W79" s="1"/>
      <c r="X79" s="1">
        <f t="shared" ref="X79:X80" si="58">+P79-T79</f>
        <v>-400</v>
      </c>
      <c r="Y79" s="1"/>
      <c r="Z79" s="5">
        <f t="shared" ref="Z79:Z80" si="59">IF(T79=0,0,X79/T79)</f>
        <v>-1</v>
      </c>
    </row>
    <row r="80" spans="1:26" s="24" customFormat="1" hidden="1" outlineLevel="2" x14ac:dyDescent="0.25">
      <c r="A80" s="27"/>
      <c r="B80" s="11" t="str">
        <f>CONCATENATE("          ", "6376", " - ", "TRAINING")</f>
        <v xml:space="preserve">          6376 - TRAINING</v>
      </c>
      <c r="C80" s="11"/>
      <c r="D80" s="6"/>
      <c r="E80" s="2"/>
      <c r="F80" s="7">
        <f t="shared" si="52"/>
        <v>0</v>
      </c>
      <c r="G80" s="2"/>
      <c r="H80" s="6">
        <v>200</v>
      </c>
      <c r="I80" s="2"/>
      <c r="J80" s="7">
        <f t="shared" si="53"/>
        <v>1.1906179307060364E-2</v>
      </c>
      <c r="K80" s="2"/>
      <c r="L80" s="6">
        <f t="shared" si="54"/>
        <v>-200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400</v>
      </c>
      <c r="U80" s="2"/>
      <c r="V80" s="7">
        <f t="shared" si="57"/>
        <v>2.3812358614120729E-2</v>
      </c>
      <c r="W80" s="2"/>
      <c r="X80" s="6">
        <f t="shared" si="58"/>
        <v>-400</v>
      </c>
      <c r="Y80" s="2"/>
      <c r="Z80" s="7">
        <f t="shared" si="59"/>
        <v>-1</v>
      </c>
    </row>
    <row r="81" spans="1:26" s="61" customFormat="1" x14ac:dyDescent="0.25">
      <c r="A81" s="36"/>
      <c r="B81" s="36"/>
      <c r="C81" s="36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6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2" customFormat="1" x14ac:dyDescent="0.25">
      <c r="A82" s="10"/>
      <c r="B82" s="25" t="s">
        <v>0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2" customFormat="1" x14ac:dyDescent="0.25">
      <c r="A84" s="10"/>
      <c r="B84" s="26" t="s">
        <v>3</v>
      </c>
      <c r="C84" s="26"/>
      <c r="D84" s="21">
        <f>+D18-D20+D82</f>
        <v>-38261.779999999992</v>
      </c>
      <c r="E84" s="13"/>
      <c r="F84" s="20">
        <f>IF(D$12=0,0,D84/D$12)</f>
        <v>0</v>
      </c>
      <c r="G84" s="13"/>
      <c r="H84" s="21">
        <f>+H18-H20+H82</f>
        <v>-75024.635545587662</v>
      </c>
      <c r="I84" s="13"/>
      <c r="J84" s="20">
        <f>IF(H$12=0,0,H84/H$12)</f>
        <v>-4.4662838162631067</v>
      </c>
      <c r="K84" s="16"/>
      <c r="L84" s="21">
        <f>+D84-H84</f>
        <v>36762.85554558767</v>
      </c>
      <c r="M84" s="16"/>
      <c r="N84" s="20">
        <f>IF(H84=0,0,L84/H84)</f>
        <v>-0.49001045161024792</v>
      </c>
      <c r="O84" s="25"/>
      <c r="P84" s="21">
        <f>+P18-P20+P82</f>
        <v>-78621.920000000013</v>
      </c>
      <c r="Q84" s="13"/>
      <c r="R84" s="20">
        <f>IF(P$12=0,0,P84/P$12)</f>
        <v>0</v>
      </c>
      <c r="S84" s="13"/>
      <c r="T84" s="21">
        <f>+T18-T20+T82</f>
        <v>-156751.12404007223</v>
      </c>
      <c r="U84" s="13"/>
      <c r="V84" s="20">
        <f>IF(T$12=0,0,T84/T$12)</f>
        <v>-9.3315349470218028</v>
      </c>
      <c r="W84" s="16"/>
      <c r="X84" s="21">
        <f>+P84-T84</f>
        <v>78129.204040072218</v>
      </c>
      <c r="Y84" s="16"/>
      <c r="Z84" s="20">
        <f>IF(T84=0,0,X84/T84)</f>
        <v>-0.49842834951600784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2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>
        <v>2743</v>
      </c>
      <c r="I86" s="4"/>
      <c r="J86" s="12">
        <f>IF(H$12=0,0,H86/H$12)</f>
        <v>0.1632932491963329</v>
      </c>
      <c r="K86" s="4"/>
      <c r="L86" s="4">
        <f>+D86-H86</f>
        <v>-2743</v>
      </c>
      <c r="M86" s="4"/>
      <c r="N86" s="12">
        <f>IF(H86=0,0,L86/H86)</f>
        <v>-1</v>
      </c>
      <c r="O86" s="10"/>
      <c r="P86" s="4"/>
      <c r="Q86" s="4"/>
      <c r="R86" s="12">
        <f>IF(P$12=0,0,P86/P$12)</f>
        <v>0</v>
      </c>
      <c r="S86" s="4"/>
      <c r="T86" s="4">
        <v>2743</v>
      </c>
      <c r="U86" s="4"/>
      <c r="V86" s="12">
        <f>IF(T$12=0,0,T86/T$12)</f>
        <v>0.1632932491963329</v>
      </c>
      <c r="W86" s="4"/>
      <c r="X86" s="4">
        <f>+P86-T86</f>
        <v>-2743</v>
      </c>
      <c r="Y86" s="4"/>
      <c r="Z86" s="12">
        <f>IF(T86=0,0,X86/T86)</f>
        <v>-1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2" customFormat="1" ht="15.75" thickBot="1" x14ac:dyDescent="0.3">
      <c r="A88" s="10"/>
      <c r="B88" s="26" t="s">
        <v>4</v>
      </c>
      <c r="C88" s="26"/>
      <c r="D88" s="33">
        <f>+D84-D86</f>
        <v>-38261.779999999992</v>
      </c>
      <c r="E88" s="13"/>
      <c r="F88" s="31">
        <f>IF(D$12=0,0,D88/D$12)</f>
        <v>0</v>
      </c>
      <c r="G88" s="13"/>
      <c r="H88" s="33">
        <f>+H84-H86</f>
        <v>-77767.635545587662</v>
      </c>
      <c r="I88" s="13"/>
      <c r="J88" s="31">
        <f>IF(H$12=0,0,H88/H$12)</f>
        <v>-4.629577065459439</v>
      </c>
      <c r="K88" s="16"/>
      <c r="L88" s="33">
        <f>D88-H88</f>
        <v>39505.85554558767</v>
      </c>
      <c r="M88" s="16"/>
      <c r="N88" s="31">
        <f>IF(H88=0,0,L88/H88)</f>
        <v>-0.50799867153514267</v>
      </c>
      <c r="O88" s="25"/>
      <c r="P88" s="33">
        <f>+P84-P86</f>
        <v>-78621.920000000013</v>
      </c>
      <c r="Q88" s="13"/>
      <c r="R88" s="31">
        <f>IF(P$12=0,0,P88/P$12)</f>
        <v>0</v>
      </c>
      <c r="S88" s="13"/>
      <c r="T88" s="33">
        <f>+T84-T86</f>
        <v>-159494.12404007223</v>
      </c>
      <c r="U88" s="13"/>
      <c r="V88" s="31">
        <f>IF(T$12=0,0,T88/T$12)</f>
        <v>-9.4948281962181351</v>
      </c>
      <c r="W88" s="16"/>
      <c r="X88" s="33">
        <f>P88-T88</f>
        <v>80872.204040072218</v>
      </c>
      <c r="Y88" s="16"/>
      <c r="Z88" s="31">
        <f>IF(T88=0,0,X88/T88)</f>
        <v>-0.5070544418285492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2" customFormat="1" ht="15.75" thickBot="1" x14ac:dyDescent="0.3">
      <c r="A91" s="10"/>
      <c r="B91" s="26" t="s">
        <v>5</v>
      </c>
      <c r="C91" s="26"/>
      <c r="D91" s="32">
        <f>SUM(D88:D90)</f>
        <v>-38261.779999999992</v>
      </c>
      <c r="E91" s="13"/>
      <c r="F91" s="35">
        <f>IF(D$12=0,0,D91/D$12)</f>
        <v>0</v>
      </c>
      <c r="G91" s="13"/>
      <c r="H91" s="32">
        <f>SUM(H88:H90)</f>
        <v>-77767.635545587662</v>
      </c>
      <c r="I91" s="13"/>
      <c r="J91" s="35">
        <f>IF(H$12=0,0,H91/H$12)</f>
        <v>-4.629577065459439</v>
      </c>
      <c r="K91" s="16"/>
      <c r="L91" s="32">
        <f>+D91-H91</f>
        <v>39505.85554558767</v>
      </c>
      <c r="M91" s="16"/>
      <c r="N91" s="35">
        <f>IF(H91=0,0,L91/H91)</f>
        <v>-0.50799867153514267</v>
      </c>
      <c r="O91" s="25"/>
      <c r="P91" s="32">
        <f>SUM(P88:P90)</f>
        <v>-78621.920000000013</v>
      </c>
      <c r="Q91" s="13"/>
      <c r="R91" s="35">
        <f>IF(P$12=0,0,P91/P$12)</f>
        <v>0</v>
      </c>
      <c r="S91" s="13"/>
      <c r="T91" s="32">
        <f>SUM(T88:T90)</f>
        <v>-159494.12404007223</v>
      </c>
      <c r="U91" s="13"/>
      <c r="V91" s="35">
        <f>IF(T$12=0,0,T91/T$12)</f>
        <v>-9.4948281962181351</v>
      </c>
      <c r="W91" s="16"/>
      <c r="X91" s="32">
        <f>+P91-T91</f>
        <v>80872.204040072218</v>
      </c>
      <c r="Y91" s="16"/>
      <c r="Z91" s="35">
        <f>IF(T91=0,0,X91/T91)</f>
        <v>-0.5070544418285492</v>
      </c>
    </row>
    <row r="92" spans="1:26" ht="15.75" thickTop="1" x14ac:dyDescent="0.25">
      <c r="A92" s="9"/>
      <c r="C92" s="9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9">
        <v>44113.690082638888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62" t="s">
        <v>314</v>
      </c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A95" s="9"/>
      <c r="B95" s="63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">
        <v>298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66861</v>
      </c>
      <c r="E12" s="4"/>
      <c r="F12" s="12"/>
      <c r="G12" s="4"/>
      <c r="H12" s="4">
        <f>SUM(OSRRefH13x_0)</f>
        <v>181400</v>
      </c>
      <c r="I12" s="4"/>
      <c r="J12" s="12"/>
      <c r="K12" s="4"/>
      <c r="L12" s="4">
        <f t="shared" ref="L12:L13" si="0">+D12-H12</f>
        <v>-114539</v>
      </c>
      <c r="M12" s="4"/>
      <c r="N12" s="12">
        <f t="shared" ref="N12:N13" si="1">IF(H12=0,0,L12/H12)</f>
        <v>-0.63141675854465273</v>
      </c>
      <c r="O12" s="10"/>
      <c r="P12" s="4">
        <f>SUM(OSRRefP13x_0)</f>
        <v>87832</v>
      </c>
      <c r="Q12" s="4"/>
      <c r="R12" s="12"/>
      <c r="S12" s="4"/>
      <c r="T12" s="4">
        <f>SUM(OSRRefT13x_0)</f>
        <v>232077</v>
      </c>
      <c r="U12" s="4"/>
      <c r="V12" s="12"/>
      <c r="W12" s="4"/>
      <c r="X12" s="4">
        <f t="shared" ref="X12:X13" si="2">+P12-T12</f>
        <v>-144245</v>
      </c>
      <c r="Y12" s="4"/>
      <c r="Z12" s="12">
        <f t="shared" ref="Z12:Z13" si="3">IF(T12=0,0,X12/T12)</f>
        <v>-0.62153940287059894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--66861</f>
        <v>66861</v>
      </c>
      <c r="E13" s="2"/>
      <c r="F13" s="23"/>
      <c r="G13" s="2"/>
      <c r="H13" s="2">
        <v>181400</v>
      </c>
      <c r="I13" s="2"/>
      <c r="J13" s="23"/>
      <c r="K13" s="2"/>
      <c r="L13" s="2">
        <f t="shared" si="0"/>
        <v>-114539</v>
      </c>
      <c r="M13" s="2"/>
      <c r="N13" s="23">
        <f t="shared" si="1"/>
        <v>-0.63141675854465273</v>
      </c>
      <c r="O13" s="11"/>
      <c r="P13" s="2">
        <f>--87832</f>
        <v>87832</v>
      </c>
      <c r="Q13" s="2"/>
      <c r="R13" s="23"/>
      <c r="S13" s="2"/>
      <c r="T13" s="2">
        <v>232077</v>
      </c>
      <c r="U13" s="2"/>
      <c r="V13" s="23"/>
      <c r="W13" s="2"/>
      <c r="X13" s="2">
        <f t="shared" si="2"/>
        <v>-144245</v>
      </c>
      <c r="Y13" s="2"/>
      <c r="Z13" s="23">
        <f t="shared" si="3"/>
        <v>-0.62153940287059894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66861</v>
      </c>
      <c r="E17" s="13"/>
      <c r="F17" s="20">
        <f>IF(D$12=0,0,D17/D$12)</f>
        <v>1</v>
      </c>
      <c r="G17" s="13"/>
      <c r="H17" s="21">
        <f>H12-H15</f>
        <v>181400</v>
      </c>
      <c r="I17" s="13"/>
      <c r="J17" s="20">
        <f>IF(H$12=0,0,H17/H$12)</f>
        <v>1</v>
      </c>
      <c r="K17" s="16"/>
      <c r="L17" s="21">
        <f>+D17-H17</f>
        <v>-114539</v>
      </c>
      <c r="M17" s="16"/>
      <c r="N17" s="20">
        <f>IF(H17=0,0,L17/H17)</f>
        <v>-0.63141675854465273</v>
      </c>
      <c r="O17" s="25"/>
      <c r="P17" s="21">
        <f>P12-P15</f>
        <v>87832</v>
      </c>
      <c r="Q17" s="13"/>
      <c r="R17" s="20">
        <f>IF(P$12=0,0,P17/P$12)</f>
        <v>1</v>
      </c>
      <c r="S17" s="13"/>
      <c r="T17" s="21">
        <f>T12-T15</f>
        <v>232077</v>
      </c>
      <c r="U17" s="13"/>
      <c r="V17" s="20">
        <f>IF(T$12=0,0,T17/T$12)</f>
        <v>1</v>
      </c>
      <c r="W17" s="16"/>
      <c r="X17" s="21">
        <f>+P17-T17</f>
        <v>-144245</v>
      </c>
      <c r="Y17" s="16"/>
      <c r="Z17" s="20">
        <f>IF(T17=0,0,X17/T17)</f>
        <v>-0.62153940287059894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57099.96</v>
      </c>
      <c r="E19" s="19"/>
      <c r="F19" s="30">
        <f t="shared" ref="F19:F30" si="4">IF(D$12=0,0,D19/D$12)</f>
        <v>0.85400996096379056</v>
      </c>
      <c r="G19" s="19"/>
      <c r="H19" s="19">
        <f>SUM(OSRRefH22x_0)</f>
        <v>157849.04153361538</v>
      </c>
      <c r="I19" s="19"/>
      <c r="J19" s="30">
        <f t="shared" ref="J19:J30" si="5">IF(H$12=0,0,H19/H$12)</f>
        <v>0.87017112201552027</v>
      </c>
      <c r="K19" s="4"/>
      <c r="L19" s="19">
        <f t="shared" ref="L19:L30" si="6">+D19-H19</f>
        <v>-100749.08153361539</v>
      </c>
      <c r="M19" s="4"/>
      <c r="N19" s="30">
        <f t="shared" ref="N19:N30" si="7">IF(H19=0,0,L19/H19)</f>
        <v>-0.63826223178022889</v>
      </c>
      <c r="O19" s="10"/>
      <c r="P19" s="19">
        <f>SUM(OSRRefP22x_0)</f>
        <v>78235.819999999992</v>
      </c>
      <c r="Q19" s="19"/>
      <c r="R19" s="30">
        <f t="shared" ref="R19:R30" si="8">IF(P$12=0,0,P19/P$12)</f>
        <v>0.89074392021131243</v>
      </c>
      <c r="S19" s="19"/>
      <c r="T19" s="19">
        <f>SUM(OSRRefT22x_0)</f>
        <v>202261.79953688462</v>
      </c>
      <c r="U19" s="19"/>
      <c r="V19" s="30">
        <f t="shared" ref="V19:V30" si="9">IF(T$12=0,0,T19/T$12)</f>
        <v>0.87152884403402586</v>
      </c>
      <c r="W19" s="4"/>
      <c r="X19" s="19">
        <f t="shared" ref="X19:X30" si="10">+P19-T19</f>
        <v>-124025.97953688462</v>
      </c>
      <c r="Y19" s="4"/>
      <c r="Z19" s="30">
        <f t="shared" ref="Z19:Z30" si="11">IF(T19=0,0,X19/T19)</f>
        <v>-0.61319527375344618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4075.21</v>
      </c>
      <c r="E20" s="1"/>
      <c r="F20" s="5">
        <f t="shared" si="4"/>
        <v>6.0950479352686916E-2</v>
      </c>
      <c r="G20" s="1"/>
      <c r="H20" s="1">
        <f>SUM(OSRRefH22_0x_0)</f>
        <v>4298.025764384618</v>
      </c>
      <c r="I20" s="1"/>
      <c r="J20" s="5">
        <f t="shared" si="5"/>
        <v>2.3693637069374961E-2</v>
      </c>
      <c r="K20" s="1"/>
      <c r="L20" s="1">
        <f t="shared" si="6"/>
        <v>-222.81576438461798</v>
      </c>
      <c r="M20" s="1"/>
      <c r="N20" s="5">
        <f t="shared" si="7"/>
        <v>-5.1841421294160216E-2</v>
      </c>
      <c r="O20" s="14"/>
      <c r="P20" s="1">
        <f>SUM(OSRRefP22_0x_0)</f>
        <v>8283.0300000000007</v>
      </c>
      <c r="Q20" s="1"/>
      <c r="R20" s="5">
        <f t="shared" si="8"/>
        <v>9.4305378449767746E-2</v>
      </c>
      <c r="S20" s="1"/>
      <c r="T20" s="1">
        <f>SUM(OSRRefT22_0x_0)</f>
        <v>10664.682806115386</v>
      </c>
      <c r="U20" s="1"/>
      <c r="V20" s="5">
        <f t="shared" si="9"/>
        <v>4.5953208659692199E-2</v>
      </c>
      <c r="W20" s="1"/>
      <c r="X20" s="1">
        <f t="shared" si="10"/>
        <v>-2381.6528061153858</v>
      </c>
      <c r="Y20" s="1"/>
      <c r="Z20" s="5">
        <f t="shared" si="11"/>
        <v>-0.22332148545005845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1161.71</v>
      </c>
      <c r="E21" s="2"/>
      <c r="F21" s="7">
        <f t="shared" si="4"/>
        <v>1.7375001869550263E-2</v>
      </c>
      <c r="G21" s="2"/>
      <c r="H21" s="6">
        <v>1338.74458823077</v>
      </c>
      <c r="I21" s="2"/>
      <c r="J21" s="7">
        <f t="shared" si="5"/>
        <v>7.3800693948774532E-3</v>
      </c>
      <c r="K21" s="2"/>
      <c r="L21" s="6">
        <f t="shared" si="6"/>
        <v>-177.03458823076994</v>
      </c>
      <c r="M21" s="2"/>
      <c r="N21" s="7">
        <f t="shared" si="7"/>
        <v>-0.13223925593210548</v>
      </c>
      <c r="O21" s="11"/>
      <c r="P21" s="6">
        <v>2168.29</v>
      </c>
      <c r="Q21" s="2"/>
      <c r="R21" s="7">
        <f t="shared" si="8"/>
        <v>2.4686788414245379E-2</v>
      </c>
      <c r="S21" s="2"/>
      <c r="T21" s="6">
        <v>3433.6929972692301</v>
      </c>
      <c r="U21" s="2"/>
      <c r="V21" s="7">
        <f t="shared" si="9"/>
        <v>1.4795490278094039E-2</v>
      </c>
      <c r="W21" s="2"/>
      <c r="X21" s="6">
        <f t="shared" si="10"/>
        <v>-1265.4029972692301</v>
      </c>
      <c r="Y21" s="2"/>
      <c r="Z21" s="7">
        <f t="shared" si="11"/>
        <v>-0.36852537436386656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84.22</v>
      </c>
      <c r="E22" s="2"/>
      <c r="F22" s="7">
        <f t="shared" si="4"/>
        <v>1.2596281838440945E-3</v>
      </c>
      <c r="G22" s="2"/>
      <c r="H22" s="6">
        <v>323.62178076923101</v>
      </c>
      <c r="I22" s="2"/>
      <c r="J22" s="7">
        <f t="shared" si="5"/>
        <v>1.7840230472394212E-3</v>
      </c>
      <c r="K22" s="2"/>
      <c r="L22" s="6">
        <f t="shared" si="6"/>
        <v>-239.40178076923101</v>
      </c>
      <c r="M22" s="2"/>
      <c r="N22" s="7">
        <f t="shared" si="7"/>
        <v>-0.73975793656467204</v>
      </c>
      <c r="O22" s="11"/>
      <c r="P22" s="6">
        <v>162.09</v>
      </c>
      <c r="Q22" s="2"/>
      <c r="R22" s="7">
        <f t="shared" si="8"/>
        <v>1.8454549594680754E-3</v>
      </c>
      <c r="S22" s="2"/>
      <c r="T22" s="6">
        <v>830.04469423077001</v>
      </c>
      <c r="U22" s="2"/>
      <c r="V22" s="7">
        <f t="shared" si="9"/>
        <v>3.5765917959589707E-3</v>
      </c>
      <c r="W22" s="2"/>
      <c r="X22" s="6">
        <f t="shared" si="10"/>
        <v>-667.95469423076997</v>
      </c>
      <c r="Y22" s="2"/>
      <c r="Z22" s="7">
        <f t="shared" si="11"/>
        <v>-0.8047213588297023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1.8403104949073452E-2</v>
      </c>
      <c r="G23" s="2"/>
      <c r="H23" s="6">
        <v>1025</v>
      </c>
      <c r="I23" s="2"/>
      <c r="J23" s="7">
        <f t="shared" si="5"/>
        <v>5.6504961411245865E-3</v>
      </c>
      <c r="K23" s="2"/>
      <c r="L23" s="6">
        <f t="shared" si="6"/>
        <v>205.45000000000005</v>
      </c>
      <c r="M23" s="2"/>
      <c r="N23" s="7">
        <f t="shared" si="7"/>
        <v>0.20043902439024394</v>
      </c>
      <c r="O23" s="11"/>
      <c r="P23" s="6">
        <v>2460.9</v>
      </c>
      <c r="Q23" s="2"/>
      <c r="R23" s="7">
        <f t="shared" si="8"/>
        <v>2.8018262136806631E-2</v>
      </c>
      <c r="S23" s="2"/>
      <c r="T23" s="6">
        <v>2382.5</v>
      </c>
      <c r="U23" s="2"/>
      <c r="V23" s="7">
        <f t="shared" si="9"/>
        <v>1.0265989305273681E-2</v>
      </c>
      <c r="W23" s="2"/>
      <c r="X23" s="6">
        <f t="shared" si="10"/>
        <v>78.400000000000091</v>
      </c>
      <c r="Y23" s="2"/>
      <c r="Z23" s="7">
        <f t="shared" si="11"/>
        <v>3.2906610703043057E-2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39.200000000000003</v>
      </c>
      <c r="E24" s="2"/>
      <c r="F24" s="7">
        <f t="shared" si="4"/>
        <v>5.8629096184621829E-4</v>
      </c>
      <c r="G24" s="2"/>
      <c r="H24" s="6">
        <v>45.48198</v>
      </c>
      <c r="I24" s="2"/>
      <c r="J24" s="7">
        <f t="shared" si="5"/>
        <v>2.5072756339581038E-4</v>
      </c>
      <c r="K24" s="2"/>
      <c r="L24" s="6">
        <f t="shared" si="6"/>
        <v>-6.2819799999999972</v>
      </c>
      <c r="M24" s="2"/>
      <c r="N24" s="7">
        <f t="shared" si="7"/>
        <v>-0.13812019617439691</v>
      </c>
      <c r="O24" s="11"/>
      <c r="P24" s="6">
        <v>73.400000000000006</v>
      </c>
      <c r="Q24" s="2"/>
      <c r="R24" s="7">
        <f t="shared" si="8"/>
        <v>8.3568631022861838E-4</v>
      </c>
      <c r="S24" s="2"/>
      <c r="T24" s="6">
        <v>116.65492999999999</v>
      </c>
      <c r="U24" s="2"/>
      <c r="V24" s="7">
        <f t="shared" si="9"/>
        <v>5.0265614429693592E-4</v>
      </c>
      <c r="W24" s="2"/>
      <c r="X24" s="6">
        <f t="shared" si="10"/>
        <v>-43.254929999999987</v>
      </c>
      <c r="Y24" s="2"/>
      <c r="Z24" s="7">
        <f t="shared" si="11"/>
        <v>-0.37079384471792137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9.5773320769955584E-3</v>
      </c>
      <c r="G25" s="2"/>
      <c r="H25" s="6">
        <v>560.123953846154</v>
      </c>
      <c r="I25" s="2"/>
      <c r="J25" s="7">
        <f t="shared" si="5"/>
        <v>3.0877836485455018E-3</v>
      </c>
      <c r="K25" s="2"/>
      <c r="L25" s="6">
        <f t="shared" si="6"/>
        <v>80.226046153846028</v>
      </c>
      <c r="M25" s="2"/>
      <c r="N25" s="7">
        <f t="shared" si="7"/>
        <v>0.1432290934943326</v>
      </c>
      <c r="O25" s="11"/>
      <c r="P25" s="6">
        <v>1579.79</v>
      </c>
      <c r="Q25" s="2"/>
      <c r="R25" s="7">
        <f t="shared" si="8"/>
        <v>1.7986496948720284E-2</v>
      </c>
      <c r="S25" s="2"/>
      <c r="T25" s="6">
        <v>1505.6261461538459</v>
      </c>
      <c r="U25" s="2"/>
      <c r="V25" s="7">
        <f t="shared" si="9"/>
        <v>6.4876146544200668E-3</v>
      </c>
      <c r="W25" s="2"/>
      <c r="X25" s="6">
        <f t="shared" si="10"/>
        <v>74.163853846154097</v>
      </c>
      <c r="Y25" s="2"/>
      <c r="Z25" s="7">
        <f t="shared" si="11"/>
        <v>4.925781478729447E-2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100</v>
      </c>
      <c r="E27" s="2"/>
      <c r="F27" s="7">
        <f t="shared" si="4"/>
        <v>1.4956402087913732E-3</v>
      </c>
      <c r="G27" s="2"/>
      <c r="H27" s="6"/>
      <c r="I27" s="2"/>
      <c r="J27" s="7">
        <f t="shared" si="5"/>
        <v>0</v>
      </c>
      <c r="K27" s="2"/>
      <c r="L27" s="6">
        <f t="shared" si="6"/>
        <v>100</v>
      </c>
      <c r="M27" s="2"/>
      <c r="N27" s="7">
        <f t="shared" si="7"/>
        <v>0</v>
      </c>
      <c r="O27" s="11"/>
      <c r="P27" s="6">
        <v>200</v>
      </c>
      <c r="Q27" s="2"/>
      <c r="R27" s="7">
        <f t="shared" si="8"/>
        <v>2.2770744147918754E-3</v>
      </c>
      <c r="S27" s="2"/>
      <c r="T27" s="6"/>
      <c r="U27" s="2"/>
      <c r="V27" s="7">
        <f t="shared" si="9"/>
        <v>0</v>
      </c>
      <c r="W27" s="2"/>
      <c r="X27" s="6">
        <f t="shared" si="10"/>
        <v>200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7.7776282137568984E-3</v>
      </c>
      <c r="G28" s="2"/>
      <c r="H28" s="6">
        <v>195.39207692307698</v>
      </c>
      <c r="I28" s="2"/>
      <c r="J28" s="7">
        <f t="shared" si="5"/>
        <v>1.0771338308879657E-3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1040.04</v>
      </c>
      <c r="Q28" s="2"/>
      <c r="R28" s="7">
        <f t="shared" si="8"/>
        <v>1.184124237180071E-2</v>
      </c>
      <c r="S28" s="2"/>
      <c r="T28" s="6">
        <v>525.21842307692293</v>
      </c>
      <c r="U28" s="2"/>
      <c r="V28" s="7">
        <f t="shared" si="9"/>
        <v>2.2631213910767672E-3</v>
      </c>
      <c r="W28" s="2"/>
      <c r="X28" s="6">
        <f t="shared" si="10"/>
        <v>514.82157692307703</v>
      </c>
      <c r="Y28" s="2"/>
      <c r="Z28" s="7">
        <f t="shared" si="11"/>
        <v>0.98020471922340924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4.4758528888290631E-3</v>
      </c>
      <c r="G29" s="2"/>
      <c r="H29" s="6">
        <v>459.66138461538497</v>
      </c>
      <c r="I29" s="2"/>
      <c r="J29" s="7">
        <f t="shared" si="5"/>
        <v>2.5339657365787485E-3</v>
      </c>
      <c r="K29" s="2"/>
      <c r="L29" s="6">
        <f t="shared" si="6"/>
        <v>-160.40138461538498</v>
      </c>
      <c r="M29" s="2"/>
      <c r="N29" s="7">
        <f t="shared" si="7"/>
        <v>-0.3489555354961969</v>
      </c>
      <c r="O29" s="11"/>
      <c r="P29" s="6">
        <v>598.52</v>
      </c>
      <c r="Q29" s="2"/>
      <c r="R29" s="7">
        <f t="shared" si="8"/>
        <v>6.8143728937061663E-3</v>
      </c>
      <c r="S29" s="2"/>
      <c r="T29" s="6">
        <v>1170.9456153846161</v>
      </c>
      <c r="U29" s="2"/>
      <c r="V29" s="7">
        <f t="shared" si="9"/>
        <v>5.045504791015982E-3</v>
      </c>
      <c r="W29" s="2"/>
      <c r="X29" s="6">
        <f t="shared" si="10"/>
        <v>-572.42561538461609</v>
      </c>
      <c r="Y29" s="2"/>
      <c r="Z29" s="7">
        <f t="shared" si="11"/>
        <v>-0.48885755910755396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1.9294377067254685E-3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700</v>
      </c>
      <c r="U30" s="2"/>
      <c r="V30" s="7">
        <f t="shared" si="9"/>
        <v>3.0162402995557508E-3</v>
      </c>
      <c r="W30" s="2"/>
      <c r="X30" s="6">
        <f t="shared" si="10"/>
        <v>-700</v>
      </c>
      <c r="Y30" s="2"/>
      <c r="Z30" s="7">
        <f t="shared" si="11"/>
        <v>-1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16843.640000000003</v>
      </c>
      <c r="E31" s="1"/>
      <c r="F31" s="5">
        <f t="shared" ref="F31:F41" si="12">IF(D$12=0,0,D31/D$12)</f>
        <v>0.2519202524640673</v>
      </c>
      <c r="G31" s="1"/>
      <c r="H31" s="1">
        <f>SUM(OSRRefH22_1x_0)</f>
        <v>16838.015769230769</v>
      </c>
      <c r="I31" s="1"/>
      <c r="J31" s="5">
        <f t="shared" ref="J31:J41" si="13">IF(H$12=0,0,H31/H$12)</f>
        <v>9.2822578661691121E-2</v>
      </c>
      <c r="K31" s="1"/>
      <c r="L31" s="1">
        <f t="shared" ref="L31:L41" si="14">+D31-H31</f>
        <v>5.6242307692336908</v>
      </c>
      <c r="M31" s="1"/>
      <c r="N31" s="5">
        <f t="shared" ref="N31:N41" si="15">IF(H31=0,0,L31/H31)</f>
        <v>3.3401980650898445E-4</v>
      </c>
      <c r="O31" s="14"/>
      <c r="P31" s="1">
        <f>SUM(OSRRefP22_1x_0)</f>
        <v>32448.820000000003</v>
      </c>
      <c r="Q31" s="1"/>
      <c r="R31" s="5">
        <f t="shared" ref="R31:R41" si="16">IF(P$12=0,0,P31/P$12)</f>
        <v>0.36944188906093456</v>
      </c>
      <c r="S31" s="1"/>
      <c r="T31" s="1">
        <f>SUM(OSRRefT22_1x_0)</f>
        <v>43171.11673076923</v>
      </c>
      <c r="U31" s="1"/>
      <c r="V31" s="5">
        <f t="shared" ref="V31:V41" si="17">IF(T$12=0,0,T31/T$12)</f>
        <v>0.18602066008595952</v>
      </c>
      <c r="W31" s="1"/>
      <c r="X31" s="1">
        <f t="shared" ref="X31:X41" si="18">+P31-T31</f>
        <v>-10722.296730769227</v>
      </c>
      <c r="Y31" s="1"/>
      <c r="Z31" s="5">
        <f t="shared" ref="Z31:Z41" si="19">IF(T31=0,0,X31/T31)</f>
        <v>-0.24836737019422883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4205.72</v>
      </c>
      <c r="E32" s="2"/>
      <c r="F32" s="7">
        <f t="shared" si="12"/>
        <v>6.2902439389180539E-2</v>
      </c>
      <c r="G32" s="2"/>
      <c r="H32" s="6">
        <v>4019.23076923077</v>
      </c>
      <c r="I32" s="2"/>
      <c r="J32" s="7">
        <f t="shared" si="13"/>
        <v>2.2156729709100164E-2</v>
      </c>
      <c r="K32" s="2"/>
      <c r="L32" s="6">
        <f t="shared" si="14"/>
        <v>186.48923076923029</v>
      </c>
      <c r="M32" s="2"/>
      <c r="N32" s="7">
        <f t="shared" si="15"/>
        <v>4.6399234449760636E-2</v>
      </c>
      <c r="O32" s="11"/>
      <c r="P32" s="6">
        <v>9463.44</v>
      </c>
      <c r="Q32" s="2"/>
      <c r="R32" s="7">
        <f t="shared" si="16"/>
        <v>0.10774478549959013</v>
      </c>
      <c r="S32" s="2"/>
      <c r="T32" s="6">
        <v>9043.2692307692305</v>
      </c>
      <c r="U32" s="2"/>
      <c r="V32" s="7">
        <f t="shared" si="17"/>
        <v>3.8966675847969555E-2</v>
      </c>
      <c r="W32" s="2"/>
      <c r="X32" s="6">
        <f t="shared" si="18"/>
        <v>420.17076923077002</v>
      </c>
      <c r="Y32" s="2"/>
      <c r="Z32" s="7">
        <f t="shared" si="19"/>
        <v>4.6462264752791159E-2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2625.07</v>
      </c>
      <c r="E33" s="2"/>
      <c r="F33" s="7">
        <f t="shared" si="12"/>
        <v>3.9261602428919705E-2</v>
      </c>
      <c r="G33" s="2"/>
      <c r="H33" s="6">
        <v>2168.1849999999999</v>
      </c>
      <c r="I33" s="2"/>
      <c r="J33" s="7">
        <f t="shared" si="13"/>
        <v>1.1952508269018744E-2</v>
      </c>
      <c r="K33" s="2"/>
      <c r="L33" s="6">
        <f t="shared" si="14"/>
        <v>456.88500000000022</v>
      </c>
      <c r="M33" s="2"/>
      <c r="N33" s="7">
        <f t="shared" si="15"/>
        <v>0.21072233227330706</v>
      </c>
      <c r="O33" s="11"/>
      <c r="P33" s="6">
        <v>4679.1400000000003</v>
      </c>
      <c r="Q33" s="2"/>
      <c r="R33" s="7">
        <f t="shared" si="16"/>
        <v>5.3273749886146284E-2</v>
      </c>
      <c r="S33" s="2"/>
      <c r="T33" s="6">
        <v>7588.6475</v>
      </c>
      <c r="U33" s="2"/>
      <c r="V33" s="7">
        <f t="shared" si="17"/>
        <v>3.2698834869461429E-2</v>
      </c>
      <c r="W33" s="2"/>
      <c r="X33" s="6">
        <f t="shared" si="18"/>
        <v>-2909.5074999999997</v>
      </c>
      <c r="Y33" s="2"/>
      <c r="Z33" s="7">
        <f t="shared" si="19"/>
        <v>-0.38340264190687467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1.5400220507166482E-2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5587.2</v>
      </c>
      <c r="U35" s="2"/>
      <c r="V35" s="7">
        <f t="shared" si="17"/>
        <v>2.4074768288111274E-2</v>
      </c>
      <c r="W35" s="2"/>
      <c r="X35" s="6">
        <f t="shared" si="18"/>
        <v>-5587.2</v>
      </c>
      <c r="Y35" s="2"/>
      <c r="Z35" s="7">
        <f t="shared" si="19"/>
        <v>-1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7904.97</v>
      </c>
      <c r="E36" s="2"/>
      <c r="F36" s="7">
        <f t="shared" si="12"/>
        <v>0.11822990981289541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7904.97</v>
      </c>
      <c r="M36" s="2"/>
      <c r="N36" s="7">
        <f t="shared" si="15"/>
        <v>0</v>
      </c>
      <c r="O36" s="11"/>
      <c r="P36" s="6">
        <v>14642.36</v>
      </c>
      <c r="Q36" s="2"/>
      <c r="R36" s="7">
        <f t="shared" si="16"/>
        <v>0.16670871664085982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14642.36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>
        <v>2107.88</v>
      </c>
      <c r="E38" s="2"/>
      <c r="F38" s="7">
        <f t="shared" si="12"/>
        <v>3.1526300833071598E-2</v>
      </c>
      <c r="G38" s="2"/>
      <c r="H38" s="6">
        <v>7857</v>
      </c>
      <c r="I38" s="2"/>
      <c r="J38" s="7">
        <f t="shared" si="13"/>
        <v>4.3313120176405734E-2</v>
      </c>
      <c r="K38" s="2"/>
      <c r="L38" s="6">
        <f t="shared" si="14"/>
        <v>-5749.12</v>
      </c>
      <c r="M38" s="2"/>
      <c r="N38" s="7">
        <f t="shared" si="15"/>
        <v>-0.73171948580883284</v>
      </c>
      <c r="O38" s="11"/>
      <c r="P38" s="6">
        <v>3663.88</v>
      </c>
      <c r="Q38" s="2"/>
      <c r="R38" s="7">
        <f t="shared" si="16"/>
        <v>4.1714637034338281E-2</v>
      </c>
      <c r="S38" s="2"/>
      <c r="T38" s="6">
        <v>20952</v>
      </c>
      <c r="U38" s="2"/>
      <c r="V38" s="7">
        <f t="shared" si="17"/>
        <v>9.0280381080417277E-2</v>
      </c>
      <c r="W38" s="2"/>
      <c r="X38" s="6">
        <f t="shared" si="18"/>
        <v>-17288.12</v>
      </c>
      <c r="Y38" s="2"/>
      <c r="Z38" s="7">
        <f t="shared" si="19"/>
        <v>-0.82512982054219164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5.5126791620727675E-4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200</v>
      </c>
      <c r="U42" s="1"/>
      <c r="V42" s="5">
        <f t="shared" ref="V42:V50" si="25">IF(T$12=0,0,T42/T$12)</f>
        <v>8.6178294273021449E-4</v>
      </c>
      <c r="W42" s="1"/>
      <c r="X42" s="1">
        <f t="shared" ref="X42:X50" si="26">+P42-T42</f>
        <v>-200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5.5126791620727675E-4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200</v>
      </c>
      <c r="U43" s="2"/>
      <c r="V43" s="7">
        <f t="shared" si="25"/>
        <v>8.6178294273021449E-4</v>
      </c>
      <c r="W43" s="2"/>
      <c r="X43" s="6">
        <f t="shared" si="26"/>
        <v>-200</v>
      </c>
      <c r="Y43" s="2"/>
      <c r="Z43" s="7">
        <f t="shared" si="27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124.1</v>
      </c>
      <c r="E44" s="1"/>
      <c r="F44" s="5">
        <f t="shared" si="20"/>
        <v>1.856089499110094E-3</v>
      </c>
      <c r="G44" s="1"/>
      <c r="H44" s="1">
        <f>SUM(OSRRefH22_3x_0)</f>
        <v>1500</v>
      </c>
      <c r="I44" s="1"/>
      <c r="J44" s="5">
        <f t="shared" si="21"/>
        <v>8.2690187431091518E-3</v>
      </c>
      <c r="K44" s="1"/>
      <c r="L44" s="1">
        <f t="shared" si="22"/>
        <v>-1375.9</v>
      </c>
      <c r="M44" s="1"/>
      <c r="N44" s="5">
        <f t="shared" si="23"/>
        <v>-0.91726666666666667</v>
      </c>
      <c r="O44" s="14"/>
      <c r="P44" s="1">
        <f>SUM(OSRRefP22_3x_0)</f>
        <v>370.43</v>
      </c>
      <c r="Q44" s="1"/>
      <c r="R44" s="5">
        <f t="shared" si="24"/>
        <v>4.2174833773567719E-3</v>
      </c>
      <c r="S44" s="1"/>
      <c r="T44" s="1">
        <f>SUM(OSRRefT22_3x_0)</f>
        <v>3000</v>
      </c>
      <c r="U44" s="1"/>
      <c r="V44" s="5">
        <f t="shared" si="25"/>
        <v>1.2926744140953218E-2</v>
      </c>
      <c r="W44" s="1"/>
      <c r="X44" s="1">
        <f t="shared" si="26"/>
        <v>-2629.57</v>
      </c>
      <c r="Y44" s="1"/>
      <c r="Z44" s="5">
        <f t="shared" si="27"/>
        <v>-0.87652333333333343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124.1</v>
      </c>
      <c r="E45" s="2"/>
      <c r="F45" s="7">
        <f t="shared" si="20"/>
        <v>1.856089499110094E-3</v>
      </c>
      <c r="G45" s="2"/>
      <c r="H45" s="6">
        <v>1500</v>
      </c>
      <c r="I45" s="2"/>
      <c r="J45" s="7">
        <f t="shared" si="21"/>
        <v>8.2690187431091518E-3</v>
      </c>
      <c r="K45" s="2"/>
      <c r="L45" s="6">
        <f t="shared" si="22"/>
        <v>-1375.9</v>
      </c>
      <c r="M45" s="2"/>
      <c r="N45" s="7">
        <f t="shared" si="23"/>
        <v>-0.91726666666666667</v>
      </c>
      <c r="O45" s="11"/>
      <c r="P45" s="6">
        <v>370.43</v>
      </c>
      <c r="Q45" s="2"/>
      <c r="R45" s="7">
        <f t="shared" si="24"/>
        <v>4.2174833773567719E-3</v>
      </c>
      <c r="S45" s="2"/>
      <c r="T45" s="6">
        <v>3000</v>
      </c>
      <c r="U45" s="2"/>
      <c r="V45" s="7">
        <f t="shared" si="25"/>
        <v>1.2926744140953218E-2</v>
      </c>
      <c r="W45" s="2"/>
      <c r="X45" s="6">
        <f t="shared" si="26"/>
        <v>-2629.57</v>
      </c>
      <c r="Y45" s="2"/>
      <c r="Z45" s="7">
        <f t="shared" si="27"/>
        <v>-0.87652333333333343</v>
      </c>
    </row>
    <row r="46" spans="1:26" s="29" customFormat="1" outlineLevel="1" collapsed="1" x14ac:dyDescent="0.25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1.1025358324145535E-4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40</v>
      </c>
      <c r="U46" s="1"/>
      <c r="V46" s="5">
        <f t="shared" si="25"/>
        <v>1.723565885460429E-4</v>
      </c>
      <c r="W46" s="1"/>
      <c r="X46" s="1">
        <f t="shared" si="26"/>
        <v>-40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1.1025358324145535E-4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40</v>
      </c>
      <c r="U47" s="2"/>
      <c r="V47" s="7">
        <f t="shared" si="25"/>
        <v>1.723565885460429E-4</v>
      </c>
      <c r="W47" s="2"/>
      <c r="X47" s="6">
        <f t="shared" si="26"/>
        <v>-40</v>
      </c>
      <c r="Y47" s="2"/>
      <c r="Z47" s="7">
        <f t="shared" si="27"/>
        <v>-1</v>
      </c>
    </row>
    <row r="48" spans="1:26" s="29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0.28999999999999998</v>
      </c>
      <c r="E48" s="1"/>
      <c r="F48" s="5">
        <f t="shared" si="20"/>
        <v>4.3373566054949817E-6</v>
      </c>
      <c r="G48" s="1"/>
      <c r="H48" s="1">
        <f>SUM(OSRRefH22_5x_0)</f>
        <v>10</v>
      </c>
      <c r="I48" s="1"/>
      <c r="J48" s="5">
        <f t="shared" si="21"/>
        <v>5.5126791620727676E-5</v>
      </c>
      <c r="K48" s="1"/>
      <c r="L48" s="1">
        <f t="shared" si="22"/>
        <v>-9.7100000000000009</v>
      </c>
      <c r="M48" s="1"/>
      <c r="N48" s="5">
        <f t="shared" si="23"/>
        <v>-0.97100000000000009</v>
      </c>
      <c r="O48" s="14"/>
      <c r="P48" s="1">
        <f>SUM(OSRRefP22_5x_0)</f>
        <v>0.28999999999999998</v>
      </c>
      <c r="Q48" s="1"/>
      <c r="R48" s="5">
        <f t="shared" si="24"/>
        <v>3.3017579014482193E-6</v>
      </c>
      <c r="S48" s="1"/>
      <c r="T48" s="1">
        <f>SUM(OSRRefT22_5x_0)</f>
        <v>20</v>
      </c>
      <c r="U48" s="1"/>
      <c r="V48" s="5">
        <f t="shared" si="25"/>
        <v>8.6178294273021451E-5</v>
      </c>
      <c r="W48" s="1"/>
      <c r="X48" s="1">
        <f t="shared" si="26"/>
        <v>-19.71</v>
      </c>
      <c r="Y48" s="1"/>
      <c r="Z48" s="5">
        <f t="shared" si="27"/>
        <v>-0.98550000000000004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6">
        <v>0.28999999999999998</v>
      </c>
      <c r="E49" s="2"/>
      <c r="F49" s="7">
        <f t="shared" si="20"/>
        <v>4.3373566054949817E-6</v>
      </c>
      <c r="G49" s="2"/>
      <c r="H49" s="6"/>
      <c r="I49" s="2"/>
      <c r="J49" s="7">
        <f t="shared" si="21"/>
        <v>0</v>
      </c>
      <c r="K49" s="2"/>
      <c r="L49" s="6">
        <f t="shared" si="22"/>
        <v>0.28999999999999998</v>
      </c>
      <c r="M49" s="2"/>
      <c r="N49" s="7">
        <f t="shared" si="23"/>
        <v>0</v>
      </c>
      <c r="O49" s="11"/>
      <c r="P49" s="6">
        <v>0.28999999999999998</v>
      </c>
      <c r="Q49" s="2"/>
      <c r="R49" s="7">
        <f t="shared" si="24"/>
        <v>3.3017579014482193E-6</v>
      </c>
      <c r="S49" s="2"/>
      <c r="T49" s="6"/>
      <c r="U49" s="2"/>
      <c r="V49" s="7">
        <f t="shared" si="25"/>
        <v>0</v>
      </c>
      <c r="W49" s="2"/>
      <c r="X49" s="6">
        <f t="shared" si="26"/>
        <v>0.28999999999999998</v>
      </c>
      <c r="Y49" s="2"/>
      <c r="Z49" s="7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5.5126791620727676E-5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20</v>
      </c>
      <c r="U50" s="2"/>
      <c r="V50" s="7">
        <f t="shared" si="25"/>
        <v>8.6178294273021451E-5</v>
      </c>
      <c r="W50" s="2"/>
      <c r="X50" s="6">
        <f t="shared" si="26"/>
        <v>-20</v>
      </c>
      <c r="Y50" s="2"/>
      <c r="Z50" s="7">
        <f t="shared" si="27"/>
        <v>-1</v>
      </c>
    </row>
    <row r="51" spans="1:26" s="29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59" si="28">IF(D$12=0,0,D51/D$12)</f>
        <v>0</v>
      </c>
      <c r="G51" s="1"/>
      <c r="H51" s="1">
        <f>SUM(OSRRefH22_6x_0)</f>
        <v>50</v>
      </c>
      <c r="I51" s="1"/>
      <c r="J51" s="5">
        <f t="shared" ref="J51:J59" si="29">IF(H$12=0,0,H51/H$12)</f>
        <v>2.7563395810363837E-4</v>
      </c>
      <c r="K51" s="1"/>
      <c r="L51" s="1">
        <f t="shared" ref="L51:L59" si="30">+D51-H51</f>
        <v>-50</v>
      </c>
      <c r="M51" s="1"/>
      <c r="N51" s="5">
        <f t="shared" ref="N51:N59" si="31">IF(H51=0,0,L51/H51)</f>
        <v>-1</v>
      </c>
      <c r="O51" s="14"/>
      <c r="P51" s="1">
        <f>SUM(OSRRefP22_6x_0)</f>
        <v>0</v>
      </c>
      <c r="Q51" s="1"/>
      <c r="R51" s="5">
        <f t="shared" ref="R51:R59" si="32">IF(P$12=0,0,P51/P$12)</f>
        <v>0</v>
      </c>
      <c r="S51" s="1"/>
      <c r="T51" s="1">
        <f>SUM(OSRRefT22_6x_0)</f>
        <v>100</v>
      </c>
      <c r="U51" s="1"/>
      <c r="V51" s="5">
        <f t="shared" ref="V51:V59" si="33">IF(T$12=0,0,T51/T$12)</f>
        <v>4.3089147136510724E-4</v>
      </c>
      <c r="W51" s="1"/>
      <c r="X51" s="1">
        <f t="shared" ref="X51:X59" si="34">+P51-T51</f>
        <v>-100</v>
      </c>
      <c r="Y51" s="1"/>
      <c r="Z51" s="5">
        <f t="shared" ref="Z51:Z59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2.7563395810363837E-4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100</v>
      </c>
      <c r="U52" s="2"/>
      <c r="V52" s="7">
        <f t="shared" si="33"/>
        <v>4.3089147136510724E-4</v>
      </c>
      <c r="W52" s="2"/>
      <c r="X52" s="6">
        <f t="shared" si="34"/>
        <v>-100</v>
      </c>
      <c r="Y52" s="2"/>
      <c r="Z52" s="7">
        <f t="shared" si="35"/>
        <v>-1</v>
      </c>
    </row>
    <row r="53" spans="1:26" s="29" customFormat="1" outlineLevel="1" collapsed="1" x14ac:dyDescent="0.25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4.3388522457037739E-4</v>
      </c>
      <c r="G53" s="1"/>
      <c r="H53" s="1">
        <f>SUM(OSRRefH22_7x_0)</f>
        <v>33</v>
      </c>
      <c r="I53" s="1"/>
      <c r="J53" s="5">
        <f t="shared" si="29"/>
        <v>1.8191841234840132E-4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58.02</v>
      </c>
      <c r="Q53" s="1"/>
      <c r="R53" s="5">
        <f t="shared" si="32"/>
        <v>6.6057928773112311E-4</v>
      </c>
      <c r="S53" s="1"/>
      <c r="T53" s="1">
        <f>SUM(OSRRefT22_7x_0)</f>
        <v>66</v>
      </c>
      <c r="U53" s="1"/>
      <c r="V53" s="5">
        <f t="shared" si="33"/>
        <v>2.8438837110097081E-4</v>
      </c>
      <c r="W53" s="1"/>
      <c r="X53" s="1">
        <f t="shared" si="34"/>
        <v>-7.9799999999999969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4.3388522457037739E-4</v>
      </c>
      <c r="G54" s="2"/>
      <c r="H54" s="6">
        <v>33</v>
      </c>
      <c r="I54" s="2"/>
      <c r="J54" s="7">
        <f t="shared" si="29"/>
        <v>1.8191841234840132E-4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58.02</v>
      </c>
      <c r="Q54" s="2"/>
      <c r="R54" s="7">
        <f t="shared" si="32"/>
        <v>6.6057928773112311E-4</v>
      </c>
      <c r="S54" s="2"/>
      <c r="T54" s="6">
        <v>66</v>
      </c>
      <c r="U54" s="2"/>
      <c r="V54" s="7">
        <f t="shared" si="33"/>
        <v>2.8438837110097081E-4</v>
      </c>
      <c r="W54" s="2"/>
      <c r="X54" s="6">
        <f t="shared" si="34"/>
        <v>-7.9799999999999969</v>
      </c>
      <c r="Y54" s="2"/>
      <c r="Z54" s="7">
        <f t="shared" si="35"/>
        <v>-0.12090909090909085</v>
      </c>
    </row>
    <row r="55" spans="1:26" s="29" customFormat="1" outlineLevel="1" collapsed="1" x14ac:dyDescent="0.25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1.1965121670330986E-2</v>
      </c>
      <c r="G55" s="1"/>
      <c r="H55" s="1">
        <f>SUM(OSRRefH22_8x_0)</f>
        <v>800</v>
      </c>
      <c r="I55" s="1"/>
      <c r="J55" s="5">
        <f t="shared" si="29"/>
        <v>4.410143329658214E-3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1600</v>
      </c>
      <c r="Q55" s="1"/>
      <c r="R55" s="5">
        <f t="shared" si="32"/>
        <v>1.8216595318335003E-2</v>
      </c>
      <c r="S55" s="1"/>
      <c r="T55" s="1">
        <f>SUM(OSRRefT22_8x_0)</f>
        <v>1600</v>
      </c>
      <c r="U55" s="1"/>
      <c r="V55" s="5">
        <f t="shared" si="33"/>
        <v>6.8942635418417159E-3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1.1965121670330986E-2</v>
      </c>
      <c r="G56" s="2"/>
      <c r="H56" s="6">
        <v>800</v>
      </c>
      <c r="I56" s="2"/>
      <c r="J56" s="7">
        <f t="shared" si="29"/>
        <v>4.410143329658214E-3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1600</v>
      </c>
      <c r="Q56" s="2"/>
      <c r="R56" s="7">
        <f t="shared" si="32"/>
        <v>1.8216595318335003E-2</v>
      </c>
      <c r="S56" s="2"/>
      <c r="T56" s="6">
        <v>1600</v>
      </c>
      <c r="U56" s="2"/>
      <c r="V56" s="7">
        <f t="shared" si="33"/>
        <v>6.8942635418417159E-3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126500</v>
      </c>
      <c r="I57" s="1"/>
      <c r="J57" s="5">
        <f t="shared" si="29"/>
        <v>0.69735391400220503</v>
      </c>
      <c r="K57" s="1"/>
      <c r="L57" s="1">
        <f t="shared" si="30"/>
        <v>-126500</v>
      </c>
      <c r="M57" s="1"/>
      <c r="N57" s="5">
        <f t="shared" si="31"/>
        <v>-1</v>
      </c>
      <c r="O57" s="14"/>
      <c r="P57" s="1">
        <f>SUM(OSRRefP22_9x_0)</f>
        <v>0</v>
      </c>
      <c r="Q57" s="1"/>
      <c r="R57" s="5">
        <f t="shared" si="32"/>
        <v>0</v>
      </c>
      <c r="S57" s="1"/>
      <c r="T57" s="1">
        <f>SUM(OSRRefT22_9x_0)</f>
        <v>128000</v>
      </c>
      <c r="U57" s="1"/>
      <c r="V57" s="5">
        <f t="shared" si="33"/>
        <v>0.55154108334733731</v>
      </c>
      <c r="W57" s="1"/>
      <c r="X57" s="1">
        <f t="shared" si="34"/>
        <v>-128000</v>
      </c>
      <c r="Y57" s="1"/>
      <c r="Z57" s="5">
        <f t="shared" si="35"/>
        <v>-1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>
        <v>125000</v>
      </c>
      <c r="I58" s="2"/>
      <c r="J58" s="7">
        <f t="shared" si="29"/>
        <v>0.68908489525909589</v>
      </c>
      <c r="K58" s="2"/>
      <c r="L58" s="6">
        <f t="shared" si="30"/>
        <v>-125000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0.53861433920638413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8.2690187431091518E-3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3000</v>
      </c>
      <c r="U59" s="2"/>
      <c r="V59" s="7">
        <f t="shared" si="33"/>
        <v>1.2926744140953218E-2</v>
      </c>
      <c r="W59" s="2"/>
      <c r="X59" s="6">
        <f t="shared" si="34"/>
        <v>-3000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35090.559999999998</v>
      </c>
      <c r="E60" s="1"/>
      <c r="F60" s="5">
        <f t="shared" ref="F60:F62" si="36">IF(D$12=0,0,D60/D$12)</f>
        <v>0.52482852485006204</v>
      </c>
      <c r="G60" s="1"/>
      <c r="H60" s="1">
        <f>SUM(OSRRefH22_10x_0)</f>
        <v>7000</v>
      </c>
      <c r="I60" s="1"/>
      <c r="J60" s="5">
        <f t="shared" ref="J60:J62" si="37">IF(H$12=0,0,H60/H$12)</f>
        <v>3.8588754134509372E-2</v>
      </c>
      <c r="K60" s="1"/>
      <c r="L60" s="1">
        <f t="shared" ref="L60:L62" si="38">+D60-H60</f>
        <v>28090.559999999998</v>
      </c>
      <c r="M60" s="1"/>
      <c r="N60" s="5">
        <f t="shared" ref="N60:N62" si="39">IF(H60=0,0,L60/H60)</f>
        <v>4.0129371428571421</v>
      </c>
      <c r="O60" s="14"/>
      <c r="P60" s="1">
        <f>SUM(OSRRefP22_10x_0)</f>
        <v>35183.15</v>
      </c>
      <c r="Q60" s="1"/>
      <c r="R60" s="5">
        <f t="shared" ref="R60:R62" si="40">IF(P$12=0,0,P60/P$12)</f>
        <v>0.40057325348392386</v>
      </c>
      <c r="S60" s="1"/>
      <c r="T60" s="1">
        <f>SUM(OSRRefT22_10x_0)</f>
        <v>14000</v>
      </c>
      <c r="U60" s="1"/>
      <c r="V60" s="5">
        <f t="shared" ref="V60:V62" si="41">IF(T$12=0,0,T60/T$12)</f>
        <v>6.0324805991115019E-2</v>
      </c>
      <c r="W60" s="1"/>
      <c r="X60" s="1">
        <f t="shared" ref="X60:X62" si="42">+P60-T60</f>
        <v>21183.15</v>
      </c>
      <c r="Y60" s="1"/>
      <c r="Z60" s="5">
        <f t="shared" ref="Z60:Z62" si="43">IF(T60=0,0,X60/T60)</f>
        <v>1.513082142857143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6"/>
        <v>0</v>
      </c>
      <c r="G61" s="2"/>
      <c r="H61" s="6">
        <v>7000</v>
      </c>
      <c r="I61" s="2"/>
      <c r="J61" s="7">
        <f t="shared" si="37"/>
        <v>3.8588754134509372E-2</v>
      </c>
      <c r="K61" s="2"/>
      <c r="L61" s="6">
        <f t="shared" si="38"/>
        <v>-7000</v>
      </c>
      <c r="M61" s="2"/>
      <c r="N61" s="7">
        <f t="shared" si="39"/>
        <v>-1</v>
      </c>
      <c r="O61" s="11"/>
      <c r="P61" s="6"/>
      <c r="Q61" s="2"/>
      <c r="R61" s="7">
        <f t="shared" si="40"/>
        <v>0</v>
      </c>
      <c r="S61" s="2"/>
      <c r="T61" s="6">
        <v>14000</v>
      </c>
      <c r="U61" s="2"/>
      <c r="V61" s="7">
        <f t="shared" si="41"/>
        <v>6.0324805991115019E-2</v>
      </c>
      <c r="W61" s="2"/>
      <c r="X61" s="6">
        <f t="shared" si="42"/>
        <v>-14000</v>
      </c>
      <c r="Y61" s="2"/>
      <c r="Z61" s="7">
        <f t="shared" si="43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35090.559999999998</v>
      </c>
      <c r="E62" s="2"/>
      <c r="F62" s="7">
        <f t="shared" si="36"/>
        <v>0.52482852485006204</v>
      </c>
      <c r="G62" s="2"/>
      <c r="H62" s="6"/>
      <c r="I62" s="2"/>
      <c r="J62" s="7">
        <f t="shared" si="37"/>
        <v>0</v>
      </c>
      <c r="K62" s="2"/>
      <c r="L62" s="6">
        <f t="shared" si="38"/>
        <v>35090.559999999998</v>
      </c>
      <c r="M62" s="2"/>
      <c r="N62" s="7">
        <f t="shared" si="39"/>
        <v>0</v>
      </c>
      <c r="O62" s="11"/>
      <c r="P62" s="6">
        <v>35183.15</v>
      </c>
      <c r="Q62" s="2"/>
      <c r="R62" s="7">
        <f t="shared" si="40"/>
        <v>0.40057325348392386</v>
      </c>
      <c r="S62" s="2"/>
      <c r="T62" s="6"/>
      <c r="U62" s="2"/>
      <c r="V62" s="7">
        <f t="shared" si="41"/>
        <v>0</v>
      </c>
      <c r="W62" s="2"/>
      <c r="X62" s="6">
        <f t="shared" si="42"/>
        <v>35183.15</v>
      </c>
      <c r="Y62" s="2"/>
      <c r="Z62" s="7">
        <f t="shared" si="43"/>
        <v>0</v>
      </c>
    </row>
    <row r="63" spans="1:26" s="29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137.15</v>
      </c>
      <c r="E63" s="1"/>
      <c r="F63" s="5">
        <f t="shared" ref="F63:F64" si="44">IF(D$12=0,0,D63/D$12)</f>
        <v>2.0512705463573682E-3</v>
      </c>
      <c r="G63" s="1"/>
      <c r="H63" s="1">
        <f>SUM(OSRRefH22_11x_0)</f>
        <v>700</v>
      </c>
      <c r="I63" s="1"/>
      <c r="J63" s="5">
        <f t="shared" ref="J63:J64" si="45">IF(H$12=0,0,H63/H$12)</f>
        <v>3.858875413450937E-3</v>
      </c>
      <c r="K63" s="1"/>
      <c r="L63" s="1">
        <f t="shared" ref="L63:L64" si="46">+D63-H63</f>
        <v>-562.85</v>
      </c>
      <c r="M63" s="1"/>
      <c r="N63" s="5">
        <f t="shared" ref="N63:N64" si="47">IF(H63=0,0,L63/H63)</f>
        <v>-0.80407142857142866</v>
      </c>
      <c r="O63" s="14"/>
      <c r="P63" s="1">
        <f>SUM(OSRRefP22_11x_0)</f>
        <v>292.08</v>
      </c>
      <c r="Q63" s="1"/>
      <c r="R63" s="5">
        <f t="shared" ref="R63:R64" si="48">IF(P$12=0,0,P63/P$12)</f>
        <v>3.3254394753620548E-3</v>
      </c>
      <c r="S63" s="1"/>
      <c r="T63" s="1">
        <f>SUM(OSRRefT22_11x_0)</f>
        <v>1400</v>
      </c>
      <c r="U63" s="1"/>
      <c r="V63" s="5">
        <f t="shared" ref="V63:V64" si="49">IF(T$12=0,0,T63/T$12)</f>
        <v>6.0324805991115015E-3</v>
      </c>
      <c r="W63" s="1"/>
      <c r="X63" s="1">
        <f t="shared" ref="X63:X64" si="50">+P63-T63</f>
        <v>-1107.92</v>
      </c>
      <c r="Y63" s="1"/>
      <c r="Z63" s="5">
        <f t="shared" ref="Z63:Z64" si="51">IF(T63=0,0,X63/T63)</f>
        <v>-0.79137142857142861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137.15</v>
      </c>
      <c r="E64" s="2"/>
      <c r="F64" s="7">
        <f t="shared" si="44"/>
        <v>2.0512705463573682E-3</v>
      </c>
      <c r="G64" s="2"/>
      <c r="H64" s="6">
        <v>700</v>
      </c>
      <c r="I64" s="2"/>
      <c r="J64" s="7">
        <f t="shared" si="45"/>
        <v>3.858875413450937E-3</v>
      </c>
      <c r="K64" s="2"/>
      <c r="L64" s="6">
        <f t="shared" si="46"/>
        <v>-562.85</v>
      </c>
      <c r="M64" s="2"/>
      <c r="N64" s="7">
        <f t="shared" si="47"/>
        <v>-0.80407142857142866</v>
      </c>
      <c r="O64" s="11"/>
      <c r="P64" s="6">
        <v>292.08</v>
      </c>
      <c r="Q64" s="2"/>
      <c r="R64" s="7">
        <f t="shared" si="48"/>
        <v>3.3254394753620548E-3</v>
      </c>
      <c r="S64" s="2"/>
      <c r="T64" s="6">
        <v>1400</v>
      </c>
      <c r="U64" s="2"/>
      <c r="V64" s="7">
        <f t="shared" si="49"/>
        <v>6.0324805991115015E-3</v>
      </c>
      <c r="W64" s="2"/>
      <c r="X64" s="6">
        <f t="shared" si="50"/>
        <v>-1107.92</v>
      </c>
      <c r="Y64" s="2"/>
      <c r="Z64" s="7">
        <f t="shared" si="51"/>
        <v>-0.79137142857142861</v>
      </c>
    </row>
    <row r="65" spans="1:26" s="61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2" customFormat="1" collapsed="1" x14ac:dyDescent="0.25">
      <c r="A66" s="10"/>
      <c r="B66" s="25" t="s">
        <v>0</v>
      </c>
      <c r="C66" s="10"/>
      <c r="D66" s="4">
        <f>SUM(OSRRefD25x_0)</f>
        <v>325</v>
      </c>
      <c r="E66" s="4"/>
      <c r="F66" s="12">
        <f t="shared" ref="F66:F67" si="52">IF(D$12=0,0,D66/D$12)</f>
        <v>4.8608306785719625E-3</v>
      </c>
      <c r="G66" s="4"/>
      <c r="H66" s="4">
        <f>SUM(OSRRefH25x_0)</f>
        <v>4500</v>
      </c>
      <c r="I66" s="4"/>
      <c r="J66" s="12">
        <f t="shared" ref="J66:J67" si="53">IF(H$12=0,0,H66/H$12)</f>
        <v>2.4807056229327454E-2</v>
      </c>
      <c r="K66" s="4"/>
      <c r="L66" s="4">
        <f t="shared" ref="L66:L67" si="54">+D66-H66</f>
        <v>-4175</v>
      </c>
      <c r="M66" s="4"/>
      <c r="N66" s="12">
        <f t="shared" ref="N66:N67" si="55">IF(H66=0,0,L66/H66)</f>
        <v>-0.92777777777777781</v>
      </c>
      <c r="O66" s="10"/>
      <c r="P66" s="4">
        <f>SUM(OSRRefP25x_0)</f>
        <v>490</v>
      </c>
      <c r="Q66" s="4"/>
      <c r="R66" s="12">
        <f t="shared" ref="R66:R67" si="56">IF(P$12=0,0,P66/P$12)</f>
        <v>5.5788323162400946E-3</v>
      </c>
      <c r="S66" s="4"/>
      <c r="T66" s="4">
        <f>SUM(OSRRefT25x_0)</f>
        <v>6000</v>
      </c>
      <c r="U66" s="4"/>
      <c r="V66" s="12">
        <f t="shared" ref="V66:V67" si="57">IF(T$12=0,0,T66/T$12)</f>
        <v>2.5853488281906437E-2</v>
      </c>
      <c r="W66" s="4"/>
      <c r="X66" s="4">
        <f t="shared" ref="X66:X67" si="58">+P66-T66</f>
        <v>-5510</v>
      </c>
      <c r="Y66" s="4"/>
      <c r="Z66" s="12">
        <f t="shared" ref="Z66:Z67" si="59">IF(T66=0,0,X66/T66)</f>
        <v>-0.91833333333333333</v>
      </c>
    </row>
    <row r="67" spans="1:26" s="24" customFormat="1" hidden="1" outlineLevel="1" x14ac:dyDescent="0.25">
      <c r="A67" s="51"/>
      <c r="B67" s="11" t="str">
        <f>CONCATENATE("          ", "9150", " - ", "MISC. INCOME")</f>
        <v xml:space="preserve">          9150 - MISC. INCOME</v>
      </c>
      <c r="C67" s="11"/>
      <c r="D67" s="2">
        <f>--325</f>
        <v>325</v>
      </c>
      <c r="E67" s="2"/>
      <c r="F67" s="23">
        <f t="shared" si="52"/>
        <v>4.8608306785719625E-3</v>
      </c>
      <c r="G67" s="2"/>
      <c r="H67" s="2">
        <v>4500</v>
      </c>
      <c r="I67" s="2"/>
      <c r="J67" s="23">
        <f t="shared" si="53"/>
        <v>2.4807056229327454E-2</v>
      </c>
      <c r="K67" s="2"/>
      <c r="L67" s="2">
        <f t="shared" si="54"/>
        <v>-4175</v>
      </c>
      <c r="M67" s="2"/>
      <c r="N67" s="23">
        <f t="shared" si="55"/>
        <v>-0.92777777777777781</v>
      </c>
      <c r="O67" s="11"/>
      <c r="P67" s="2">
        <f>--490</f>
        <v>490</v>
      </c>
      <c r="Q67" s="2"/>
      <c r="R67" s="23">
        <f t="shared" si="56"/>
        <v>5.5788323162400946E-3</v>
      </c>
      <c r="S67" s="2"/>
      <c r="T67" s="2">
        <v>6000</v>
      </c>
      <c r="U67" s="2"/>
      <c r="V67" s="23">
        <f t="shared" si="57"/>
        <v>2.5853488281906437E-2</v>
      </c>
      <c r="W67" s="2"/>
      <c r="X67" s="2">
        <f t="shared" si="58"/>
        <v>-5510</v>
      </c>
      <c r="Y67" s="2"/>
      <c r="Z67" s="23">
        <f t="shared" si="59"/>
        <v>-0.91833333333333333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2" customFormat="1" x14ac:dyDescent="0.25">
      <c r="A69" s="10"/>
      <c r="B69" s="26" t="s">
        <v>3</v>
      </c>
      <c r="C69" s="26"/>
      <c r="D69" s="21">
        <f>+D17-D19+D66</f>
        <v>10086.040000000001</v>
      </c>
      <c r="E69" s="13"/>
      <c r="F69" s="20">
        <f>IF(D$12=0,0,D69/D$12)</f>
        <v>0.15085086971478143</v>
      </c>
      <c r="G69" s="13"/>
      <c r="H69" s="21">
        <f>+H17-H19+H66</f>
        <v>28050.958466384618</v>
      </c>
      <c r="I69" s="13"/>
      <c r="J69" s="20">
        <f>IF(H$12=0,0,H69/H$12)</f>
        <v>0.15463593421380717</v>
      </c>
      <c r="K69" s="16"/>
      <c r="L69" s="21">
        <f>+D69-H69</f>
        <v>-17964.918466384617</v>
      </c>
      <c r="M69" s="16"/>
      <c r="N69" s="20">
        <f>IF(H69=0,0,L69/H69)</f>
        <v>-0.6404386676452859</v>
      </c>
      <c r="O69" s="25"/>
      <c r="P69" s="21">
        <f>+P17-P19+P66</f>
        <v>10086.180000000008</v>
      </c>
      <c r="Q69" s="13"/>
      <c r="R69" s="20">
        <f>IF(P$12=0,0,P69/P$12)</f>
        <v>0.11483491210492767</v>
      </c>
      <c r="S69" s="13"/>
      <c r="T69" s="21">
        <f>+T17-T19+T66</f>
        <v>35815.200463115383</v>
      </c>
      <c r="U69" s="13"/>
      <c r="V69" s="20">
        <f>IF(T$12=0,0,T69/T$12)</f>
        <v>0.15432464424788059</v>
      </c>
      <c r="W69" s="16"/>
      <c r="X69" s="21">
        <f>+P69-T69</f>
        <v>-25729.020463115376</v>
      </c>
      <c r="Y69" s="16"/>
      <c r="Z69" s="20">
        <f>IF(T69=0,0,X69/T69)</f>
        <v>-0.71838270149046479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2" customFormat="1" x14ac:dyDescent="0.25">
      <c r="A71" s="52"/>
      <c r="B71" s="10" t="s">
        <v>14</v>
      </c>
      <c r="C71" s="10"/>
      <c r="D71" s="4">
        <v>4743.34</v>
      </c>
      <c r="E71" s="4"/>
      <c r="F71" s="12">
        <f>IF(D$12=0,0,D71/D$12)</f>
        <v>7.0943300279684721E-2</v>
      </c>
      <c r="G71" s="4"/>
      <c r="H71" s="4">
        <v>13282</v>
      </c>
      <c r="I71" s="4"/>
      <c r="J71" s="12">
        <f>IF(H$12=0,0,H71/H$12)</f>
        <v>7.3219404630650492E-2</v>
      </c>
      <c r="K71" s="4"/>
      <c r="L71" s="4">
        <f>+D71-H71</f>
        <v>-8538.66</v>
      </c>
      <c r="M71" s="4"/>
      <c r="N71" s="12">
        <f>IF(H71=0,0,L71/H71)</f>
        <v>-0.64287456708327062</v>
      </c>
      <c r="O71" s="10"/>
      <c r="P71" s="4">
        <v>14829.270000000002</v>
      </c>
      <c r="Q71" s="4"/>
      <c r="R71" s="12">
        <f>IF(P$12=0,0,P71/P$12)</f>
        <v>0.16883675653520361</v>
      </c>
      <c r="S71" s="4"/>
      <c r="T71" s="4">
        <v>37899</v>
      </c>
      <c r="U71" s="4"/>
      <c r="V71" s="12">
        <f>IF(T$12=0,0,T71/T$12)</f>
        <v>0.163303558732662</v>
      </c>
      <c r="W71" s="4"/>
      <c r="X71" s="4">
        <f>+P71-T71</f>
        <v>-23069.729999999996</v>
      </c>
      <c r="Y71" s="4"/>
      <c r="Z71" s="12">
        <f>IF(T71=0,0,X71/T71)</f>
        <v>-0.60871606110979171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2" customFormat="1" ht="15.75" thickBot="1" x14ac:dyDescent="0.3">
      <c r="A73" s="10"/>
      <c r="B73" s="26" t="s">
        <v>4</v>
      </c>
      <c r="C73" s="26"/>
      <c r="D73" s="33">
        <f>+D69-D71</f>
        <v>5342.7000000000007</v>
      </c>
      <c r="E73" s="13"/>
      <c r="F73" s="31">
        <f>IF(D$12=0,0,D73/D$12)</f>
        <v>7.9907569435096706E-2</v>
      </c>
      <c r="G73" s="13"/>
      <c r="H73" s="33">
        <f>+H69-H71</f>
        <v>14768.958466384618</v>
      </c>
      <c r="I73" s="13"/>
      <c r="J73" s="31">
        <f>IF(H$12=0,0,H73/H$12)</f>
        <v>8.1416529583156663E-2</v>
      </c>
      <c r="K73" s="16"/>
      <c r="L73" s="33">
        <f>D73-H73</f>
        <v>-9426.2584663846173</v>
      </c>
      <c r="M73" s="16"/>
      <c r="N73" s="31">
        <f>IF(H73=0,0,L73/H73)</f>
        <v>-0.6382480178165284</v>
      </c>
      <c r="O73" s="25"/>
      <c r="P73" s="33">
        <f>+P69-P71</f>
        <v>-4743.0899999999947</v>
      </c>
      <c r="Q73" s="13"/>
      <c r="R73" s="31">
        <f>IF(P$12=0,0,P73/P$12)</f>
        <v>-5.4001844430275919E-2</v>
      </c>
      <c r="S73" s="13"/>
      <c r="T73" s="33">
        <f>+T69-T71</f>
        <v>-2083.7995368846168</v>
      </c>
      <c r="U73" s="13"/>
      <c r="V73" s="31">
        <f>IF(T$12=0,0,T73/T$12)</f>
        <v>-8.9789144847814174E-3</v>
      </c>
      <c r="W73" s="16"/>
      <c r="X73" s="33">
        <f>P73-T73</f>
        <v>-2659.2904631153779</v>
      </c>
      <c r="Y73" s="16"/>
      <c r="Z73" s="31">
        <f>IF(T73=0,0,X73/T73)</f>
        <v>1.2761738430420944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2" customFormat="1" ht="15.75" thickBot="1" x14ac:dyDescent="0.3">
      <c r="A76" s="10"/>
      <c r="B76" s="26" t="s">
        <v>5</v>
      </c>
      <c r="C76" s="26"/>
      <c r="D76" s="32">
        <f>SUM(D73:D75)</f>
        <v>5342.7000000000007</v>
      </c>
      <c r="E76" s="13"/>
      <c r="F76" s="35">
        <f>IF(D$12=0,0,D76/D$12)</f>
        <v>7.9907569435096706E-2</v>
      </c>
      <c r="G76" s="13"/>
      <c r="H76" s="32">
        <f>SUM(H73:H75)</f>
        <v>14768.958466384618</v>
      </c>
      <c r="I76" s="13"/>
      <c r="J76" s="35">
        <f>IF(H$12=0,0,H76/H$12)</f>
        <v>8.1416529583156663E-2</v>
      </c>
      <c r="K76" s="16"/>
      <c r="L76" s="32">
        <f>+D76-H76</f>
        <v>-9426.2584663846173</v>
      </c>
      <c r="M76" s="16"/>
      <c r="N76" s="35">
        <f>IF(H76=0,0,L76/H76)</f>
        <v>-0.6382480178165284</v>
      </c>
      <c r="O76" s="25"/>
      <c r="P76" s="32">
        <f>SUM(P73:P75)</f>
        <v>-4743.0899999999947</v>
      </c>
      <c r="Q76" s="13"/>
      <c r="R76" s="35">
        <f>IF(P$12=0,0,P76/P$12)</f>
        <v>-5.4001844430275919E-2</v>
      </c>
      <c r="S76" s="13"/>
      <c r="T76" s="32">
        <f>SUM(T73:T75)</f>
        <v>-2083.7995368846168</v>
      </c>
      <c r="U76" s="13"/>
      <c r="V76" s="35">
        <f>IF(T$12=0,0,T76/T$12)</f>
        <v>-8.9789144847814174E-3</v>
      </c>
      <c r="W76" s="16"/>
      <c r="X76" s="32">
        <f>+P76-T76</f>
        <v>-2659.2904631153779</v>
      </c>
      <c r="Y76" s="16"/>
      <c r="Z76" s="35">
        <f>IF(T76=0,0,X76/T76)</f>
        <v>1.2761738430420944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>
        <v>44113.68913564815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314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str">
        <f>CONCATENATE("Period ",RIGHT(202102,2),", ",2021)</f>
        <v>Period 02, 2021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4">
        <v>44072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str">
        <f>CONCATENATE("Department ","501", " - ", "ID Card Services")</f>
        <v>Department 501 - ID Card Services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>
        <f>SUM(OSRRefD13x_0)</f>
        <v>66861</v>
      </c>
      <c r="E12" s="4"/>
      <c r="F12" s="12"/>
      <c r="G12" s="4"/>
      <c r="H12" s="4">
        <f>SUM(OSRRefH13x_0)</f>
        <v>181400</v>
      </c>
      <c r="I12" s="4"/>
      <c r="J12" s="12"/>
      <c r="K12" s="4"/>
      <c r="L12" s="4">
        <f t="shared" ref="L12:L13" si="0">+D12-H12</f>
        <v>-114539</v>
      </c>
      <c r="M12" s="4"/>
      <c r="N12" s="12">
        <f t="shared" ref="N12:N13" si="1">IF(H12=0,0,L12/H12)</f>
        <v>-0.63141675854465273</v>
      </c>
      <c r="O12" s="10"/>
      <c r="P12" s="4">
        <f>SUM(OSRRefP13x_0)</f>
        <v>87832</v>
      </c>
      <c r="Q12" s="4"/>
      <c r="R12" s="12"/>
      <c r="S12" s="4"/>
      <c r="T12" s="4">
        <f>SUM(OSRRefT13x_0)</f>
        <v>232077</v>
      </c>
      <c r="U12" s="4"/>
      <c r="V12" s="12"/>
      <c r="W12" s="4"/>
      <c r="X12" s="4">
        <f t="shared" ref="X12:X13" si="2">+P12-T12</f>
        <v>-144245</v>
      </c>
      <c r="Y12" s="4"/>
      <c r="Z12" s="12">
        <f t="shared" ref="Z12:Z13" si="3">IF(T12=0,0,X12/T12)</f>
        <v>-0.62153940287059894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--66861</f>
        <v>66861</v>
      </c>
      <c r="E13" s="2"/>
      <c r="F13" s="23"/>
      <c r="G13" s="2"/>
      <c r="H13" s="2">
        <v>181400</v>
      </c>
      <c r="I13" s="2"/>
      <c r="J13" s="23"/>
      <c r="K13" s="2"/>
      <c r="L13" s="2">
        <f t="shared" si="0"/>
        <v>-114539</v>
      </c>
      <c r="M13" s="2"/>
      <c r="N13" s="23">
        <f t="shared" si="1"/>
        <v>-0.63141675854465273</v>
      </c>
      <c r="O13" s="11"/>
      <c r="P13" s="2">
        <f>--87832</f>
        <v>87832</v>
      </c>
      <c r="Q13" s="2"/>
      <c r="R13" s="23"/>
      <c r="S13" s="2"/>
      <c r="T13" s="2">
        <v>232077</v>
      </c>
      <c r="U13" s="2"/>
      <c r="V13" s="23"/>
      <c r="W13" s="2"/>
      <c r="X13" s="2">
        <f t="shared" si="2"/>
        <v>-144245</v>
      </c>
      <c r="Y13" s="2"/>
      <c r="Z13" s="23">
        <f t="shared" si="3"/>
        <v>-0.62153940287059894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2" customFormat="1" x14ac:dyDescent="0.25">
      <c r="A17" s="10"/>
      <c r="B17" s="26" t="s">
        <v>6</v>
      </c>
      <c r="C17" s="26"/>
      <c r="D17" s="21">
        <f>D12-D15</f>
        <v>66861</v>
      </c>
      <c r="E17" s="13"/>
      <c r="F17" s="20">
        <f>IF(D$12=0,0,D17/D$12)</f>
        <v>1</v>
      </c>
      <c r="G17" s="13"/>
      <c r="H17" s="21">
        <f>H12-H15</f>
        <v>181400</v>
      </c>
      <c r="I17" s="13"/>
      <c r="J17" s="20">
        <f>IF(H$12=0,0,H17/H$12)</f>
        <v>1</v>
      </c>
      <c r="K17" s="16"/>
      <c r="L17" s="21">
        <f>+D17-H17</f>
        <v>-114539</v>
      </c>
      <c r="M17" s="16"/>
      <c r="N17" s="20">
        <f>IF(H17=0,0,L17/H17)</f>
        <v>-0.63141675854465273</v>
      </c>
      <c r="O17" s="25"/>
      <c r="P17" s="21">
        <f>P12-P15</f>
        <v>87832</v>
      </c>
      <c r="Q17" s="13"/>
      <c r="R17" s="20">
        <f>IF(P$12=0,0,P17/P$12)</f>
        <v>1</v>
      </c>
      <c r="S17" s="13"/>
      <c r="T17" s="21">
        <f>T12-T15</f>
        <v>232077</v>
      </c>
      <c r="U17" s="13"/>
      <c r="V17" s="20">
        <f>IF(T$12=0,0,T17/T$12)</f>
        <v>1</v>
      </c>
      <c r="W17" s="16"/>
      <c r="X17" s="21">
        <f>+P17-T17</f>
        <v>-144245</v>
      </c>
      <c r="Y17" s="16"/>
      <c r="Z17" s="20">
        <f>IF(T17=0,0,X17/T17)</f>
        <v>-0.62153940287059894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2" customFormat="1" x14ac:dyDescent="0.25">
      <c r="A19" s="10"/>
      <c r="B19" s="25" t="s">
        <v>9</v>
      </c>
      <c r="C19" s="10"/>
      <c r="D19" s="19">
        <f>SUM(OSRRefD22x_0)</f>
        <v>57099.96</v>
      </c>
      <c r="E19" s="19"/>
      <c r="F19" s="30">
        <f t="shared" ref="F19:F30" si="4">IF(D$12=0,0,D19/D$12)</f>
        <v>0.85400996096379056</v>
      </c>
      <c r="G19" s="19"/>
      <c r="H19" s="19">
        <f>SUM(OSRRefH22x_0)</f>
        <v>157849.04153361538</v>
      </c>
      <c r="I19" s="19"/>
      <c r="J19" s="30">
        <f t="shared" ref="J19:J30" si="5">IF(H$12=0,0,H19/H$12)</f>
        <v>0.87017112201552027</v>
      </c>
      <c r="K19" s="4"/>
      <c r="L19" s="19">
        <f t="shared" ref="L19:L30" si="6">+D19-H19</f>
        <v>-100749.08153361539</v>
      </c>
      <c r="M19" s="4"/>
      <c r="N19" s="30">
        <f t="shared" ref="N19:N30" si="7">IF(H19=0,0,L19/H19)</f>
        <v>-0.63826223178022889</v>
      </c>
      <c r="O19" s="10"/>
      <c r="P19" s="19">
        <f>SUM(OSRRefP22x_0)</f>
        <v>78235.819999999992</v>
      </c>
      <c r="Q19" s="19"/>
      <c r="R19" s="30">
        <f t="shared" ref="R19:R30" si="8">IF(P$12=0,0,P19/P$12)</f>
        <v>0.89074392021131243</v>
      </c>
      <c r="S19" s="19"/>
      <c r="T19" s="19">
        <f>SUM(OSRRefT22x_0)</f>
        <v>202261.79953688462</v>
      </c>
      <c r="U19" s="19"/>
      <c r="V19" s="30">
        <f t="shared" ref="V19:V30" si="9">IF(T$12=0,0,T19/T$12)</f>
        <v>0.87152884403402586</v>
      </c>
      <c r="W19" s="4"/>
      <c r="X19" s="19">
        <f t="shared" ref="X19:X30" si="10">+P19-T19</f>
        <v>-124025.97953688462</v>
      </c>
      <c r="Y19" s="4"/>
      <c r="Z19" s="30">
        <f t="shared" ref="Z19:Z30" si="11">IF(T19=0,0,X19/T19)</f>
        <v>-0.61319527375344618</v>
      </c>
    </row>
    <row r="20" spans="1:26" s="29" customFormat="1" outlineLevel="1" collapsed="1" x14ac:dyDescent="0.25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4075.21</v>
      </c>
      <c r="E20" s="1"/>
      <c r="F20" s="5">
        <f t="shared" si="4"/>
        <v>6.0950479352686916E-2</v>
      </c>
      <c r="G20" s="1"/>
      <c r="H20" s="1">
        <f>SUM(OSRRefH22_0x_0)</f>
        <v>4298.025764384618</v>
      </c>
      <c r="I20" s="1"/>
      <c r="J20" s="5">
        <f t="shared" si="5"/>
        <v>2.3693637069374961E-2</v>
      </c>
      <c r="K20" s="1"/>
      <c r="L20" s="1">
        <f t="shared" si="6"/>
        <v>-222.81576438461798</v>
      </c>
      <c r="M20" s="1"/>
      <c r="N20" s="5">
        <f t="shared" si="7"/>
        <v>-5.1841421294160216E-2</v>
      </c>
      <c r="O20" s="14"/>
      <c r="P20" s="1">
        <f>SUM(OSRRefP22_0x_0)</f>
        <v>8283.0300000000007</v>
      </c>
      <c r="Q20" s="1"/>
      <c r="R20" s="5">
        <f t="shared" si="8"/>
        <v>9.4305378449767746E-2</v>
      </c>
      <c r="S20" s="1"/>
      <c r="T20" s="1">
        <f>SUM(OSRRefT22_0x_0)</f>
        <v>10664.682806115386</v>
      </c>
      <c r="U20" s="1"/>
      <c r="V20" s="5">
        <f t="shared" si="9"/>
        <v>4.5953208659692199E-2</v>
      </c>
      <c r="W20" s="1"/>
      <c r="X20" s="1">
        <f t="shared" si="10"/>
        <v>-2381.6528061153858</v>
      </c>
      <c r="Y20" s="1"/>
      <c r="Z20" s="5">
        <f t="shared" si="11"/>
        <v>-0.22332148545005845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1161.71</v>
      </c>
      <c r="E21" s="2"/>
      <c r="F21" s="7">
        <f t="shared" si="4"/>
        <v>1.7375001869550263E-2</v>
      </c>
      <c r="G21" s="2"/>
      <c r="H21" s="6">
        <v>1338.74458823077</v>
      </c>
      <c r="I21" s="2"/>
      <c r="J21" s="7">
        <f t="shared" si="5"/>
        <v>7.3800693948774532E-3</v>
      </c>
      <c r="K21" s="2"/>
      <c r="L21" s="6">
        <f t="shared" si="6"/>
        <v>-177.03458823076994</v>
      </c>
      <c r="M21" s="2"/>
      <c r="N21" s="7">
        <f t="shared" si="7"/>
        <v>-0.13223925593210548</v>
      </c>
      <c r="O21" s="11"/>
      <c r="P21" s="6">
        <v>2168.29</v>
      </c>
      <c r="Q21" s="2"/>
      <c r="R21" s="7">
        <f t="shared" si="8"/>
        <v>2.4686788414245379E-2</v>
      </c>
      <c r="S21" s="2"/>
      <c r="T21" s="6">
        <v>3433.6929972692301</v>
      </c>
      <c r="U21" s="2"/>
      <c r="V21" s="7">
        <f t="shared" si="9"/>
        <v>1.4795490278094039E-2</v>
      </c>
      <c r="W21" s="2"/>
      <c r="X21" s="6">
        <f t="shared" si="10"/>
        <v>-1265.4029972692301</v>
      </c>
      <c r="Y21" s="2"/>
      <c r="Z21" s="7">
        <f t="shared" si="11"/>
        <v>-0.36852537436386656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84.22</v>
      </c>
      <c r="E22" s="2"/>
      <c r="F22" s="7">
        <f t="shared" si="4"/>
        <v>1.2596281838440945E-3</v>
      </c>
      <c r="G22" s="2"/>
      <c r="H22" s="6">
        <v>323.62178076923101</v>
      </c>
      <c r="I22" s="2"/>
      <c r="J22" s="7">
        <f t="shared" si="5"/>
        <v>1.7840230472394212E-3</v>
      </c>
      <c r="K22" s="2"/>
      <c r="L22" s="6">
        <f t="shared" si="6"/>
        <v>-239.40178076923101</v>
      </c>
      <c r="M22" s="2"/>
      <c r="N22" s="7">
        <f t="shared" si="7"/>
        <v>-0.73975793656467204</v>
      </c>
      <c r="O22" s="11"/>
      <c r="P22" s="6">
        <v>162.09</v>
      </c>
      <c r="Q22" s="2"/>
      <c r="R22" s="7">
        <f t="shared" si="8"/>
        <v>1.8454549594680754E-3</v>
      </c>
      <c r="S22" s="2"/>
      <c r="T22" s="6">
        <v>830.04469423077001</v>
      </c>
      <c r="U22" s="2"/>
      <c r="V22" s="7">
        <f t="shared" si="9"/>
        <v>3.5765917959589707E-3</v>
      </c>
      <c r="W22" s="2"/>
      <c r="X22" s="6">
        <f t="shared" si="10"/>
        <v>-667.95469423076997</v>
      </c>
      <c r="Y22" s="2"/>
      <c r="Z22" s="7">
        <f t="shared" si="11"/>
        <v>-0.8047213588297023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1230.45</v>
      </c>
      <c r="E23" s="2"/>
      <c r="F23" s="7">
        <f t="shared" si="4"/>
        <v>1.8403104949073452E-2</v>
      </c>
      <c r="G23" s="2"/>
      <c r="H23" s="6">
        <v>1025</v>
      </c>
      <c r="I23" s="2"/>
      <c r="J23" s="7">
        <f t="shared" si="5"/>
        <v>5.6504961411245865E-3</v>
      </c>
      <c r="K23" s="2"/>
      <c r="L23" s="6">
        <f t="shared" si="6"/>
        <v>205.45000000000005</v>
      </c>
      <c r="M23" s="2"/>
      <c r="N23" s="7">
        <f t="shared" si="7"/>
        <v>0.20043902439024394</v>
      </c>
      <c r="O23" s="11"/>
      <c r="P23" s="6">
        <v>2460.9</v>
      </c>
      <c r="Q23" s="2"/>
      <c r="R23" s="7">
        <f t="shared" si="8"/>
        <v>2.8018262136806631E-2</v>
      </c>
      <c r="S23" s="2"/>
      <c r="T23" s="6">
        <v>2382.5</v>
      </c>
      <c r="U23" s="2"/>
      <c r="V23" s="7">
        <f t="shared" si="9"/>
        <v>1.0265989305273681E-2</v>
      </c>
      <c r="W23" s="2"/>
      <c r="X23" s="6">
        <f t="shared" si="10"/>
        <v>78.400000000000091</v>
      </c>
      <c r="Y23" s="2"/>
      <c r="Z23" s="7">
        <f t="shared" si="11"/>
        <v>3.2906610703043057E-2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39.200000000000003</v>
      </c>
      <c r="E24" s="2"/>
      <c r="F24" s="7">
        <f t="shared" si="4"/>
        <v>5.8629096184621829E-4</v>
      </c>
      <c r="G24" s="2"/>
      <c r="H24" s="6">
        <v>45.48198</v>
      </c>
      <c r="I24" s="2"/>
      <c r="J24" s="7">
        <f t="shared" si="5"/>
        <v>2.5072756339581038E-4</v>
      </c>
      <c r="K24" s="2"/>
      <c r="L24" s="6">
        <f t="shared" si="6"/>
        <v>-6.2819799999999972</v>
      </c>
      <c r="M24" s="2"/>
      <c r="N24" s="7">
        <f t="shared" si="7"/>
        <v>-0.13812019617439691</v>
      </c>
      <c r="O24" s="11"/>
      <c r="P24" s="6">
        <v>73.400000000000006</v>
      </c>
      <c r="Q24" s="2"/>
      <c r="R24" s="7">
        <f t="shared" si="8"/>
        <v>8.3568631022861838E-4</v>
      </c>
      <c r="S24" s="2"/>
      <c r="T24" s="6">
        <v>116.65492999999999</v>
      </c>
      <c r="U24" s="2"/>
      <c r="V24" s="7">
        <f t="shared" si="9"/>
        <v>5.0265614429693592E-4</v>
      </c>
      <c r="W24" s="2"/>
      <c r="X24" s="6">
        <f t="shared" si="10"/>
        <v>-43.254929999999987</v>
      </c>
      <c r="Y24" s="2"/>
      <c r="Z24" s="7">
        <f t="shared" si="11"/>
        <v>-0.37079384471792137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9.5773320769955584E-3</v>
      </c>
      <c r="G25" s="2"/>
      <c r="H25" s="6">
        <v>560.123953846154</v>
      </c>
      <c r="I25" s="2"/>
      <c r="J25" s="7">
        <f t="shared" si="5"/>
        <v>3.0877836485455018E-3</v>
      </c>
      <c r="K25" s="2"/>
      <c r="L25" s="6">
        <f t="shared" si="6"/>
        <v>80.226046153846028</v>
      </c>
      <c r="M25" s="2"/>
      <c r="N25" s="7">
        <f t="shared" si="7"/>
        <v>0.1432290934943326</v>
      </c>
      <c r="O25" s="11"/>
      <c r="P25" s="6">
        <v>1579.79</v>
      </c>
      <c r="Q25" s="2"/>
      <c r="R25" s="7">
        <f t="shared" si="8"/>
        <v>1.7986496948720284E-2</v>
      </c>
      <c r="S25" s="2"/>
      <c r="T25" s="6">
        <v>1505.6261461538459</v>
      </c>
      <c r="U25" s="2"/>
      <c r="V25" s="7">
        <f t="shared" si="9"/>
        <v>6.4876146544200668E-3</v>
      </c>
      <c r="W25" s="2"/>
      <c r="X25" s="6">
        <f t="shared" si="10"/>
        <v>74.163853846154097</v>
      </c>
      <c r="Y25" s="2"/>
      <c r="Z25" s="7">
        <f t="shared" si="11"/>
        <v>4.925781478729447E-2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100</v>
      </c>
      <c r="E27" s="2"/>
      <c r="F27" s="7">
        <f t="shared" si="4"/>
        <v>1.4956402087913732E-3</v>
      </c>
      <c r="G27" s="2"/>
      <c r="H27" s="6"/>
      <c r="I27" s="2"/>
      <c r="J27" s="7">
        <f t="shared" si="5"/>
        <v>0</v>
      </c>
      <c r="K27" s="2"/>
      <c r="L27" s="6">
        <f t="shared" si="6"/>
        <v>100</v>
      </c>
      <c r="M27" s="2"/>
      <c r="N27" s="7">
        <f t="shared" si="7"/>
        <v>0</v>
      </c>
      <c r="O27" s="11"/>
      <c r="P27" s="6">
        <v>200</v>
      </c>
      <c r="Q27" s="2"/>
      <c r="R27" s="7">
        <f t="shared" si="8"/>
        <v>2.2770744147918754E-3</v>
      </c>
      <c r="S27" s="2"/>
      <c r="T27" s="6"/>
      <c r="U27" s="2"/>
      <c r="V27" s="7">
        <f t="shared" si="9"/>
        <v>0</v>
      </c>
      <c r="W27" s="2"/>
      <c r="X27" s="6">
        <f t="shared" si="10"/>
        <v>200</v>
      </c>
      <c r="Y27" s="2"/>
      <c r="Z27" s="7">
        <f t="shared" si="11"/>
        <v>0</v>
      </c>
    </row>
    <row r="28" spans="1:26" s="24" customFormat="1" hidden="1" outlineLevel="2" x14ac:dyDescent="0.25">
      <c r="A28" s="27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7.7776282137568984E-3</v>
      </c>
      <c r="G28" s="2"/>
      <c r="H28" s="6">
        <v>195.39207692307698</v>
      </c>
      <c r="I28" s="2"/>
      <c r="J28" s="7">
        <f t="shared" si="5"/>
        <v>1.0771338308879657E-3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1040.04</v>
      </c>
      <c r="Q28" s="2"/>
      <c r="R28" s="7">
        <f t="shared" si="8"/>
        <v>1.184124237180071E-2</v>
      </c>
      <c r="S28" s="2"/>
      <c r="T28" s="6">
        <v>525.21842307692293</v>
      </c>
      <c r="U28" s="2"/>
      <c r="V28" s="7">
        <f t="shared" si="9"/>
        <v>2.2631213910767672E-3</v>
      </c>
      <c r="W28" s="2"/>
      <c r="X28" s="6">
        <f t="shared" si="10"/>
        <v>514.82157692307703</v>
      </c>
      <c r="Y28" s="2"/>
      <c r="Z28" s="7">
        <f t="shared" si="11"/>
        <v>0.98020471922340924</v>
      </c>
    </row>
    <row r="29" spans="1:26" s="24" customFormat="1" hidden="1" outlineLevel="2" x14ac:dyDescent="0.25">
      <c r="A29" s="27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4.4758528888290631E-3</v>
      </c>
      <c r="G29" s="2"/>
      <c r="H29" s="6">
        <v>459.66138461538497</v>
      </c>
      <c r="I29" s="2"/>
      <c r="J29" s="7">
        <f t="shared" si="5"/>
        <v>2.5339657365787485E-3</v>
      </c>
      <c r="K29" s="2"/>
      <c r="L29" s="6">
        <f t="shared" si="6"/>
        <v>-160.40138461538498</v>
      </c>
      <c r="M29" s="2"/>
      <c r="N29" s="7">
        <f t="shared" si="7"/>
        <v>-0.3489555354961969</v>
      </c>
      <c r="O29" s="11"/>
      <c r="P29" s="6">
        <v>598.52</v>
      </c>
      <c r="Q29" s="2"/>
      <c r="R29" s="7">
        <f t="shared" si="8"/>
        <v>6.8143728937061663E-3</v>
      </c>
      <c r="S29" s="2"/>
      <c r="T29" s="6">
        <v>1170.9456153846161</v>
      </c>
      <c r="U29" s="2"/>
      <c r="V29" s="7">
        <f t="shared" si="9"/>
        <v>5.045504791015982E-3</v>
      </c>
      <c r="W29" s="2"/>
      <c r="X29" s="6">
        <f t="shared" si="10"/>
        <v>-572.42561538461609</v>
      </c>
      <c r="Y29" s="2"/>
      <c r="Z29" s="7">
        <f t="shared" si="11"/>
        <v>-0.48885755910755396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1.9294377067254685E-3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700</v>
      </c>
      <c r="U30" s="2"/>
      <c r="V30" s="7">
        <f t="shared" si="9"/>
        <v>3.0162402995557508E-3</v>
      </c>
      <c r="W30" s="2"/>
      <c r="X30" s="6">
        <f t="shared" si="10"/>
        <v>-700</v>
      </c>
      <c r="Y30" s="2"/>
      <c r="Z30" s="7">
        <f t="shared" si="11"/>
        <v>-1</v>
      </c>
    </row>
    <row r="31" spans="1:26" s="29" customFormat="1" outlineLevel="1" collapsed="1" x14ac:dyDescent="0.25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16843.640000000003</v>
      </c>
      <c r="E31" s="1"/>
      <c r="F31" s="5">
        <f t="shared" ref="F31:F41" si="12">IF(D$12=0,0,D31/D$12)</f>
        <v>0.2519202524640673</v>
      </c>
      <c r="G31" s="1"/>
      <c r="H31" s="1">
        <f>SUM(OSRRefH22_1x_0)</f>
        <v>16838.015769230769</v>
      </c>
      <c r="I31" s="1"/>
      <c r="J31" s="5">
        <f t="shared" ref="J31:J41" si="13">IF(H$12=0,0,H31/H$12)</f>
        <v>9.2822578661691121E-2</v>
      </c>
      <c r="K31" s="1"/>
      <c r="L31" s="1">
        <f t="shared" ref="L31:L41" si="14">+D31-H31</f>
        <v>5.6242307692336908</v>
      </c>
      <c r="M31" s="1"/>
      <c r="N31" s="5">
        <f t="shared" ref="N31:N41" si="15">IF(H31=0,0,L31/H31)</f>
        <v>3.3401980650898445E-4</v>
      </c>
      <c r="O31" s="14"/>
      <c r="P31" s="1">
        <f>SUM(OSRRefP22_1x_0)</f>
        <v>32448.820000000003</v>
      </c>
      <c r="Q31" s="1"/>
      <c r="R31" s="5">
        <f t="shared" ref="R31:R41" si="16">IF(P$12=0,0,P31/P$12)</f>
        <v>0.36944188906093456</v>
      </c>
      <c r="S31" s="1"/>
      <c r="T31" s="1">
        <f>SUM(OSRRefT22_1x_0)</f>
        <v>43171.11673076923</v>
      </c>
      <c r="U31" s="1"/>
      <c r="V31" s="5">
        <f t="shared" ref="V31:V41" si="17">IF(T$12=0,0,T31/T$12)</f>
        <v>0.18602066008595952</v>
      </c>
      <c r="W31" s="1"/>
      <c r="X31" s="1">
        <f t="shared" ref="X31:X41" si="18">+P31-T31</f>
        <v>-10722.296730769227</v>
      </c>
      <c r="Y31" s="1"/>
      <c r="Z31" s="5">
        <f t="shared" ref="Z31:Z41" si="19">IF(T31=0,0,X31/T31)</f>
        <v>-0.24836737019422883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4205.72</v>
      </c>
      <c r="E32" s="2"/>
      <c r="F32" s="7">
        <f t="shared" si="12"/>
        <v>6.2902439389180539E-2</v>
      </c>
      <c r="G32" s="2"/>
      <c r="H32" s="6">
        <v>4019.23076923077</v>
      </c>
      <c r="I32" s="2"/>
      <c r="J32" s="7">
        <f t="shared" si="13"/>
        <v>2.2156729709100164E-2</v>
      </c>
      <c r="K32" s="2"/>
      <c r="L32" s="6">
        <f t="shared" si="14"/>
        <v>186.48923076923029</v>
      </c>
      <c r="M32" s="2"/>
      <c r="N32" s="7">
        <f t="shared" si="15"/>
        <v>4.6399234449760636E-2</v>
      </c>
      <c r="O32" s="11"/>
      <c r="P32" s="6">
        <v>9463.44</v>
      </c>
      <c r="Q32" s="2"/>
      <c r="R32" s="7">
        <f t="shared" si="16"/>
        <v>0.10774478549959013</v>
      </c>
      <c r="S32" s="2"/>
      <c r="T32" s="6">
        <v>9043.2692307692305</v>
      </c>
      <c r="U32" s="2"/>
      <c r="V32" s="7">
        <f t="shared" si="17"/>
        <v>3.8966675847969555E-2</v>
      </c>
      <c r="W32" s="2"/>
      <c r="X32" s="6">
        <f t="shared" si="18"/>
        <v>420.17076923077002</v>
      </c>
      <c r="Y32" s="2"/>
      <c r="Z32" s="7">
        <f t="shared" si="19"/>
        <v>4.6462264752791159E-2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2625.07</v>
      </c>
      <c r="E33" s="2"/>
      <c r="F33" s="7">
        <f t="shared" si="12"/>
        <v>3.9261602428919705E-2</v>
      </c>
      <c r="G33" s="2"/>
      <c r="H33" s="6">
        <v>2168.1849999999999</v>
      </c>
      <c r="I33" s="2"/>
      <c r="J33" s="7">
        <f t="shared" si="13"/>
        <v>1.1952508269018744E-2</v>
      </c>
      <c r="K33" s="2"/>
      <c r="L33" s="6">
        <f t="shared" si="14"/>
        <v>456.88500000000022</v>
      </c>
      <c r="M33" s="2"/>
      <c r="N33" s="7">
        <f t="shared" si="15"/>
        <v>0.21072233227330706</v>
      </c>
      <c r="O33" s="11"/>
      <c r="P33" s="6">
        <v>4679.1400000000003</v>
      </c>
      <c r="Q33" s="2"/>
      <c r="R33" s="7">
        <f t="shared" si="16"/>
        <v>5.3273749886146284E-2</v>
      </c>
      <c r="S33" s="2"/>
      <c r="T33" s="6">
        <v>7588.6475</v>
      </c>
      <c r="U33" s="2"/>
      <c r="V33" s="7">
        <f t="shared" si="17"/>
        <v>3.2698834869461429E-2</v>
      </c>
      <c r="W33" s="2"/>
      <c r="X33" s="6">
        <f t="shared" si="18"/>
        <v>-2909.5074999999997</v>
      </c>
      <c r="Y33" s="2"/>
      <c r="Z33" s="7">
        <f t="shared" si="19"/>
        <v>-0.38340264190687467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1.5400220507166482E-2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5587.2</v>
      </c>
      <c r="U35" s="2"/>
      <c r="V35" s="7">
        <f t="shared" si="17"/>
        <v>2.4074768288111274E-2</v>
      </c>
      <c r="W35" s="2"/>
      <c r="X35" s="6">
        <f t="shared" si="18"/>
        <v>-5587.2</v>
      </c>
      <c r="Y35" s="2"/>
      <c r="Z35" s="7">
        <f t="shared" si="19"/>
        <v>-1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7904.97</v>
      </c>
      <c r="E36" s="2"/>
      <c r="F36" s="7">
        <f t="shared" si="12"/>
        <v>0.11822990981289541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7904.97</v>
      </c>
      <c r="M36" s="2"/>
      <c r="N36" s="7">
        <f t="shared" si="15"/>
        <v>0</v>
      </c>
      <c r="O36" s="11"/>
      <c r="P36" s="6">
        <v>14642.36</v>
      </c>
      <c r="Q36" s="2"/>
      <c r="R36" s="7">
        <f t="shared" si="16"/>
        <v>0.16670871664085982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14642.36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>
        <v>2107.88</v>
      </c>
      <c r="E38" s="2"/>
      <c r="F38" s="7">
        <f t="shared" si="12"/>
        <v>3.1526300833071598E-2</v>
      </c>
      <c r="G38" s="2"/>
      <c r="H38" s="6">
        <v>7857</v>
      </c>
      <c r="I38" s="2"/>
      <c r="J38" s="7">
        <f t="shared" si="13"/>
        <v>4.3313120176405734E-2</v>
      </c>
      <c r="K38" s="2"/>
      <c r="L38" s="6">
        <f t="shared" si="14"/>
        <v>-5749.12</v>
      </c>
      <c r="M38" s="2"/>
      <c r="N38" s="7">
        <f t="shared" si="15"/>
        <v>-0.73171948580883284</v>
      </c>
      <c r="O38" s="11"/>
      <c r="P38" s="6">
        <v>3663.88</v>
      </c>
      <c r="Q38" s="2"/>
      <c r="R38" s="7">
        <f t="shared" si="16"/>
        <v>4.1714637034338281E-2</v>
      </c>
      <c r="S38" s="2"/>
      <c r="T38" s="6">
        <v>20952</v>
      </c>
      <c r="U38" s="2"/>
      <c r="V38" s="7">
        <f t="shared" si="17"/>
        <v>9.0280381080417277E-2</v>
      </c>
      <c r="W38" s="2"/>
      <c r="X38" s="6">
        <f t="shared" si="18"/>
        <v>-17288.12</v>
      </c>
      <c r="Y38" s="2"/>
      <c r="Z38" s="7">
        <f t="shared" si="19"/>
        <v>-0.82512982054219164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9" customFormat="1" outlineLevel="1" collapsed="1" x14ac:dyDescent="0.25">
      <c r="A42" s="28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5.5126791620727675E-4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200</v>
      </c>
      <c r="U42" s="1"/>
      <c r="V42" s="5">
        <f t="shared" ref="V42:V50" si="25">IF(T$12=0,0,T42/T$12)</f>
        <v>8.6178294273021449E-4</v>
      </c>
      <c r="W42" s="1"/>
      <c r="X42" s="1">
        <f t="shared" ref="X42:X50" si="26">+P42-T42</f>
        <v>-200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5.5126791620727675E-4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200</v>
      </c>
      <c r="U43" s="2"/>
      <c r="V43" s="7">
        <f t="shared" si="25"/>
        <v>8.6178294273021449E-4</v>
      </c>
      <c r="W43" s="2"/>
      <c r="X43" s="6">
        <f t="shared" si="26"/>
        <v>-200</v>
      </c>
      <c r="Y43" s="2"/>
      <c r="Z43" s="7">
        <f t="shared" si="27"/>
        <v>-1</v>
      </c>
    </row>
    <row r="44" spans="1:26" s="29" customFormat="1" outlineLevel="1" collapsed="1" x14ac:dyDescent="0.25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124.1</v>
      </c>
      <c r="E44" s="1"/>
      <c r="F44" s="5">
        <f t="shared" si="20"/>
        <v>1.856089499110094E-3</v>
      </c>
      <c r="G44" s="1"/>
      <c r="H44" s="1">
        <f>SUM(OSRRefH22_3x_0)</f>
        <v>1500</v>
      </c>
      <c r="I44" s="1"/>
      <c r="J44" s="5">
        <f t="shared" si="21"/>
        <v>8.2690187431091518E-3</v>
      </c>
      <c r="K44" s="1"/>
      <c r="L44" s="1">
        <f t="shared" si="22"/>
        <v>-1375.9</v>
      </c>
      <c r="M44" s="1"/>
      <c r="N44" s="5">
        <f t="shared" si="23"/>
        <v>-0.91726666666666667</v>
      </c>
      <c r="O44" s="14"/>
      <c r="P44" s="1">
        <f>SUM(OSRRefP22_3x_0)</f>
        <v>370.43</v>
      </c>
      <c r="Q44" s="1"/>
      <c r="R44" s="5">
        <f t="shared" si="24"/>
        <v>4.2174833773567719E-3</v>
      </c>
      <c r="S44" s="1"/>
      <c r="T44" s="1">
        <f>SUM(OSRRefT22_3x_0)</f>
        <v>3000</v>
      </c>
      <c r="U44" s="1"/>
      <c r="V44" s="5">
        <f t="shared" si="25"/>
        <v>1.2926744140953218E-2</v>
      </c>
      <c r="W44" s="1"/>
      <c r="X44" s="1">
        <f t="shared" si="26"/>
        <v>-2629.57</v>
      </c>
      <c r="Y44" s="1"/>
      <c r="Z44" s="5">
        <f t="shared" si="27"/>
        <v>-0.87652333333333343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124.1</v>
      </c>
      <c r="E45" s="2"/>
      <c r="F45" s="7">
        <f t="shared" si="20"/>
        <v>1.856089499110094E-3</v>
      </c>
      <c r="G45" s="2"/>
      <c r="H45" s="6">
        <v>1500</v>
      </c>
      <c r="I45" s="2"/>
      <c r="J45" s="7">
        <f t="shared" si="21"/>
        <v>8.2690187431091518E-3</v>
      </c>
      <c r="K45" s="2"/>
      <c r="L45" s="6">
        <f t="shared" si="22"/>
        <v>-1375.9</v>
      </c>
      <c r="M45" s="2"/>
      <c r="N45" s="7">
        <f t="shared" si="23"/>
        <v>-0.91726666666666667</v>
      </c>
      <c r="O45" s="11"/>
      <c r="P45" s="6">
        <v>370.43</v>
      </c>
      <c r="Q45" s="2"/>
      <c r="R45" s="7">
        <f t="shared" si="24"/>
        <v>4.2174833773567719E-3</v>
      </c>
      <c r="S45" s="2"/>
      <c r="T45" s="6">
        <v>3000</v>
      </c>
      <c r="U45" s="2"/>
      <c r="V45" s="7">
        <f t="shared" si="25"/>
        <v>1.2926744140953218E-2</v>
      </c>
      <c r="W45" s="2"/>
      <c r="X45" s="6">
        <f t="shared" si="26"/>
        <v>-2629.57</v>
      </c>
      <c r="Y45" s="2"/>
      <c r="Z45" s="7">
        <f t="shared" si="27"/>
        <v>-0.87652333333333343</v>
      </c>
    </row>
    <row r="46" spans="1:26" s="29" customFormat="1" outlineLevel="1" collapsed="1" x14ac:dyDescent="0.25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1.1025358324145535E-4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40</v>
      </c>
      <c r="U46" s="1"/>
      <c r="V46" s="5">
        <f t="shared" si="25"/>
        <v>1.723565885460429E-4</v>
      </c>
      <c r="W46" s="1"/>
      <c r="X46" s="1">
        <f t="shared" si="26"/>
        <v>-40</v>
      </c>
      <c r="Y46" s="1"/>
      <c r="Z46" s="5">
        <f t="shared" si="27"/>
        <v>-1</v>
      </c>
    </row>
    <row r="47" spans="1:26" s="24" customFormat="1" hidden="1" outlineLevel="2" x14ac:dyDescent="0.25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1.1025358324145535E-4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40</v>
      </c>
      <c r="U47" s="2"/>
      <c r="V47" s="7">
        <f t="shared" si="25"/>
        <v>1.723565885460429E-4</v>
      </c>
      <c r="W47" s="2"/>
      <c r="X47" s="6">
        <f t="shared" si="26"/>
        <v>-40</v>
      </c>
      <c r="Y47" s="2"/>
      <c r="Z47" s="7">
        <f t="shared" si="27"/>
        <v>-1</v>
      </c>
    </row>
    <row r="48" spans="1:26" s="29" customFormat="1" outlineLevel="1" collapsed="1" x14ac:dyDescent="0.25">
      <c r="A48" s="28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0.28999999999999998</v>
      </c>
      <c r="E48" s="1"/>
      <c r="F48" s="5">
        <f t="shared" si="20"/>
        <v>4.3373566054949817E-6</v>
      </c>
      <c r="G48" s="1"/>
      <c r="H48" s="1">
        <f>SUM(OSRRefH22_5x_0)</f>
        <v>10</v>
      </c>
      <c r="I48" s="1"/>
      <c r="J48" s="5">
        <f t="shared" si="21"/>
        <v>5.5126791620727676E-5</v>
      </c>
      <c r="K48" s="1"/>
      <c r="L48" s="1">
        <f t="shared" si="22"/>
        <v>-9.7100000000000009</v>
      </c>
      <c r="M48" s="1"/>
      <c r="N48" s="5">
        <f t="shared" si="23"/>
        <v>-0.97100000000000009</v>
      </c>
      <c r="O48" s="14"/>
      <c r="P48" s="1">
        <f>SUM(OSRRefP22_5x_0)</f>
        <v>0.28999999999999998</v>
      </c>
      <c r="Q48" s="1"/>
      <c r="R48" s="5">
        <f t="shared" si="24"/>
        <v>3.3017579014482193E-6</v>
      </c>
      <c r="S48" s="1"/>
      <c r="T48" s="1">
        <f>SUM(OSRRefT22_5x_0)</f>
        <v>20</v>
      </c>
      <c r="U48" s="1"/>
      <c r="V48" s="5">
        <f t="shared" si="25"/>
        <v>8.6178294273021451E-5</v>
      </c>
      <c r="W48" s="1"/>
      <c r="X48" s="1">
        <f t="shared" si="26"/>
        <v>-19.71</v>
      </c>
      <c r="Y48" s="1"/>
      <c r="Z48" s="5">
        <f t="shared" si="27"/>
        <v>-0.98550000000000004</v>
      </c>
    </row>
    <row r="49" spans="1:26" s="24" customFormat="1" hidden="1" outlineLevel="2" x14ac:dyDescent="0.25">
      <c r="A49" s="27"/>
      <c r="B49" s="11" t="str">
        <f>CONCATENATE("          ", "6305", " - ", "FREIGHT OUT")</f>
        <v xml:space="preserve">          6305 - FREIGHT OUT</v>
      </c>
      <c r="C49" s="11"/>
      <c r="D49" s="6">
        <v>0.28999999999999998</v>
      </c>
      <c r="E49" s="2"/>
      <c r="F49" s="7">
        <f t="shared" si="20"/>
        <v>4.3373566054949817E-6</v>
      </c>
      <c r="G49" s="2"/>
      <c r="H49" s="6"/>
      <c r="I49" s="2"/>
      <c r="J49" s="7">
        <f t="shared" si="21"/>
        <v>0</v>
      </c>
      <c r="K49" s="2"/>
      <c r="L49" s="6">
        <f t="shared" si="22"/>
        <v>0.28999999999999998</v>
      </c>
      <c r="M49" s="2"/>
      <c r="N49" s="7">
        <f t="shared" si="23"/>
        <v>0</v>
      </c>
      <c r="O49" s="11"/>
      <c r="P49" s="6">
        <v>0.28999999999999998</v>
      </c>
      <c r="Q49" s="2"/>
      <c r="R49" s="7">
        <f t="shared" si="24"/>
        <v>3.3017579014482193E-6</v>
      </c>
      <c r="S49" s="2"/>
      <c r="T49" s="6"/>
      <c r="U49" s="2"/>
      <c r="V49" s="7">
        <f t="shared" si="25"/>
        <v>0</v>
      </c>
      <c r="W49" s="2"/>
      <c r="X49" s="6">
        <f t="shared" si="26"/>
        <v>0.28999999999999998</v>
      </c>
      <c r="Y49" s="2"/>
      <c r="Z49" s="7">
        <f t="shared" si="27"/>
        <v>0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/>
      <c r="E50" s="2"/>
      <c r="F50" s="7">
        <f t="shared" si="20"/>
        <v>0</v>
      </c>
      <c r="G50" s="2"/>
      <c r="H50" s="6">
        <v>10</v>
      </c>
      <c r="I50" s="2"/>
      <c r="J50" s="7">
        <f t="shared" si="21"/>
        <v>5.5126791620727676E-5</v>
      </c>
      <c r="K50" s="2"/>
      <c r="L50" s="6">
        <f t="shared" si="22"/>
        <v>-10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20</v>
      </c>
      <c r="U50" s="2"/>
      <c r="V50" s="7">
        <f t="shared" si="25"/>
        <v>8.6178294273021451E-5</v>
      </c>
      <c r="W50" s="2"/>
      <c r="X50" s="6">
        <f t="shared" si="26"/>
        <v>-20</v>
      </c>
      <c r="Y50" s="2"/>
      <c r="Z50" s="7">
        <f t="shared" si="27"/>
        <v>-1</v>
      </c>
    </row>
    <row r="51" spans="1:26" s="29" customFormat="1" outlineLevel="1" collapsed="1" x14ac:dyDescent="0.25">
      <c r="A51" s="28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59" si="28">IF(D$12=0,0,D51/D$12)</f>
        <v>0</v>
      </c>
      <c r="G51" s="1"/>
      <c r="H51" s="1">
        <f>SUM(OSRRefH22_6x_0)</f>
        <v>50</v>
      </c>
      <c r="I51" s="1"/>
      <c r="J51" s="5">
        <f t="shared" ref="J51:J59" si="29">IF(H$12=0,0,H51/H$12)</f>
        <v>2.7563395810363837E-4</v>
      </c>
      <c r="K51" s="1"/>
      <c r="L51" s="1">
        <f t="shared" ref="L51:L59" si="30">+D51-H51</f>
        <v>-50</v>
      </c>
      <c r="M51" s="1"/>
      <c r="N51" s="5">
        <f t="shared" ref="N51:N59" si="31">IF(H51=0,0,L51/H51)</f>
        <v>-1</v>
      </c>
      <c r="O51" s="14"/>
      <c r="P51" s="1">
        <f>SUM(OSRRefP22_6x_0)</f>
        <v>0</v>
      </c>
      <c r="Q51" s="1"/>
      <c r="R51" s="5">
        <f t="shared" ref="R51:R59" si="32">IF(P$12=0,0,P51/P$12)</f>
        <v>0</v>
      </c>
      <c r="S51" s="1"/>
      <c r="T51" s="1">
        <f>SUM(OSRRefT22_6x_0)</f>
        <v>100</v>
      </c>
      <c r="U51" s="1"/>
      <c r="V51" s="5">
        <f t="shared" ref="V51:V59" si="33">IF(T$12=0,0,T51/T$12)</f>
        <v>4.3089147136510724E-4</v>
      </c>
      <c r="W51" s="1"/>
      <c r="X51" s="1">
        <f t="shared" ref="X51:X59" si="34">+P51-T51</f>
        <v>-100</v>
      </c>
      <c r="Y51" s="1"/>
      <c r="Z51" s="5">
        <f t="shared" ref="Z51:Z59" si="35">IF(T51=0,0,X51/T51)</f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2.7563395810363837E-4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100</v>
      </c>
      <c r="U52" s="2"/>
      <c r="V52" s="7">
        <f t="shared" si="33"/>
        <v>4.3089147136510724E-4</v>
      </c>
      <c r="W52" s="2"/>
      <c r="X52" s="6">
        <f t="shared" si="34"/>
        <v>-100</v>
      </c>
      <c r="Y52" s="2"/>
      <c r="Z52" s="7">
        <f t="shared" si="35"/>
        <v>-1</v>
      </c>
    </row>
    <row r="53" spans="1:26" s="29" customFormat="1" outlineLevel="1" collapsed="1" x14ac:dyDescent="0.25">
      <c r="A53" s="28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4.3388522457037739E-4</v>
      </c>
      <c r="G53" s="1"/>
      <c r="H53" s="1">
        <f>SUM(OSRRefH22_7x_0)</f>
        <v>33</v>
      </c>
      <c r="I53" s="1"/>
      <c r="J53" s="5">
        <f t="shared" si="29"/>
        <v>1.8191841234840132E-4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58.02</v>
      </c>
      <c r="Q53" s="1"/>
      <c r="R53" s="5">
        <f t="shared" si="32"/>
        <v>6.6057928773112311E-4</v>
      </c>
      <c r="S53" s="1"/>
      <c r="T53" s="1">
        <f>SUM(OSRRefT22_7x_0)</f>
        <v>66</v>
      </c>
      <c r="U53" s="1"/>
      <c r="V53" s="5">
        <f t="shared" si="33"/>
        <v>2.8438837110097081E-4</v>
      </c>
      <c r="W53" s="1"/>
      <c r="X53" s="1">
        <f t="shared" si="34"/>
        <v>-7.9799999999999969</v>
      </c>
      <c r="Y53" s="1"/>
      <c r="Z53" s="5">
        <f t="shared" si="35"/>
        <v>-0.12090909090909085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4.3388522457037739E-4</v>
      </c>
      <c r="G54" s="2"/>
      <c r="H54" s="6">
        <v>33</v>
      </c>
      <c r="I54" s="2"/>
      <c r="J54" s="7">
        <f t="shared" si="29"/>
        <v>1.8191841234840132E-4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58.02</v>
      </c>
      <c r="Q54" s="2"/>
      <c r="R54" s="7">
        <f t="shared" si="32"/>
        <v>6.6057928773112311E-4</v>
      </c>
      <c r="S54" s="2"/>
      <c r="T54" s="6">
        <v>66</v>
      </c>
      <c r="U54" s="2"/>
      <c r="V54" s="7">
        <f t="shared" si="33"/>
        <v>2.8438837110097081E-4</v>
      </c>
      <c r="W54" s="2"/>
      <c r="X54" s="6">
        <f t="shared" si="34"/>
        <v>-7.9799999999999969</v>
      </c>
      <c r="Y54" s="2"/>
      <c r="Z54" s="7">
        <f t="shared" si="35"/>
        <v>-0.12090909090909085</v>
      </c>
    </row>
    <row r="55" spans="1:26" s="29" customFormat="1" outlineLevel="1" collapsed="1" x14ac:dyDescent="0.25">
      <c r="A55" s="28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1.1965121670330986E-2</v>
      </c>
      <c r="G55" s="1"/>
      <c r="H55" s="1">
        <f>SUM(OSRRefH22_8x_0)</f>
        <v>800</v>
      </c>
      <c r="I55" s="1"/>
      <c r="J55" s="5">
        <f t="shared" si="29"/>
        <v>4.410143329658214E-3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1600</v>
      </c>
      <c r="Q55" s="1"/>
      <c r="R55" s="5">
        <f t="shared" si="32"/>
        <v>1.8216595318335003E-2</v>
      </c>
      <c r="S55" s="1"/>
      <c r="T55" s="1">
        <f>SUM(OSRRefT22_8x_0)</f>
        <v>1600</v>
      </c>
      <c r="U55" s="1"/>
      <c r="V55" s="5">
        <f t="shared" si="33"/>
        <v>6.8942635418417159E-3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1.1965121670330986E-2</v>
      </c>
      <c r="G56" s="2"/>
      <c r="H56" s="6">
        <v>800</v>
      </c>
      <c r="I56" s="2"/>
      <c r="J56" s="7">
        <f t="shared" si="29"/>
        <v>4.410143329658214E-3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1600</v>
      </c>
      <c r="Q56" s="2"/>
      <c r="R56" s="7">
        <f t="shared" si="32"/>
        <v>1.8216595318335003E-2</v>
      </c>
      <c r="S56" s="2"/>
      <c r="T56" s="6">
        <v>1600</v>
      </c>
      <c r="U56" s="2"/>
      <c r="V56" s="7">
        <f t="shared" si="33"/>
        <v>6.8942635418417159E-3</v>
      </c>
      <c r="W56" s="2"/>
      <c r="X56" s="6">
        <f t="shared" si="34"/>
        <v>0</v>
      </c>
      <c r="Y56" s="2"/>
      <c r="Z56" s="7">
        <f t="shared" si="35"/>
        <v>0</v>
      </c>
    </row>
    <row r="57" spans="1:26" s="29" customFormat="1" outlineLevel="1" collapsed="1" x14ac:dyDescent="0.25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0</v>
      </c>
      <c r="E57" s="1"/>
      <c r="F57" s="5">
        <f t="shared" si="28"/>
        <v>0</v>
      </c>
      <c r="G57" s="1"/>
      <c r="H57" s="1">
        <f>SUM(OSRRefH22_9x_0)</f>
        <v>126500</v>
      </c>
      <c r="I57" s="1"/>
      <c r="J57" s="5">
        <f t="shared" si="29"/>
        <v>0.69735391400220503</v>
      </c>
      <c r="K57" s="1"/>
      <c r="L57" s="1">
        <f t="shared" si="30"/>
        <v>-126500</v>
      </c>
      <c r="M57" s="1"/>
      <c r="N57" s="5">
        <f t="shared" si="31"/>
        <v>-1</v>
      </c>
      <c r="O57" s="14"/>
      <c r="P57" s="1">
        <f>SUM(OSRRefP22_9x_0)</f>
        <v>0</v>
      </c>
      <c r="Q57" s="1"/>
      <c r="R57" s="5">
        <f t="shared" si="32"/>
        <v>0</v>
      </c>
      <c r="S57" s="1"/>
      <c r="T57" s="1">
        <f>SUM(OSRRefT22_9x_0)</f>
        <v>128000</v>
      </c>
      <c r="U57" s="1"/>
      <c r="V57" s="5">
        <f t="shared" si="33"/>
        <v>0.55154108334733731</v>
      </c>
      <c r="W57" s="1"/>
      <c r="X57" s="1">
        <f t="shared" si="34"/>
        <v>-128000</v>
      </c>
      <c r="Y57" s="1"/>
      <c r="Z57" s="5">
        <f t="shared" si="35"/>
        <v>-1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>
        <v>125000</v>
      </c>
      <c r="I58" s="2"/>
      <c r="J58" s="7">
        <f t="shared" si="29"/>
        <v>0.68908489525909589</v>
      </c>
      <c r="K58" s="2"/>
      <c r="L58" s="6">
        <f t="shared" si="30"/>
        <v>-125000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0.53861433920638413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8.2690187431091518E-3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3000</v>
      </c>
      <c r="U59" s="2"/>
      <c r="V59" s="7">
        <f t="shared" si="33"/>
        <v>1.2926744140953218E-2</v>
      </c>
      <c r="W59" s="2"/>
      <c r="X59" s="6">
        <f t="shared" si="34"/>
        <v>-3000</v>
      </c>
      <c r="Y59" s="2"/>
      <c r="Z59" s="7">
        <f t="shared" si="35"/>
        <v>-1</v>
      </c>
    </row>
    <row r="60" spans="1:26" s="29" customFormat="1" outlineLevel="1" collapsed="1" x14ac:dyDescent="0.25">
      <c r="A60" s="28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SUM(OSRRefD22_10x_0)</f>
        <v>35090.559999999998</v>
      </c>
      <c r="E60" s="1"/>
      <c r="F60" s="5">
        <f t="shared" ref="F60:F62" si="36">IF(D$12=0,0,D60/D$12)</f>
        <v>0.52482852485006204</v>
      </c>
      <c r="G60" s="1"/>
      <c r="H60" s="1">
        <f>SUM(OSRRefH22_10x_0)</f>
        <v>7000</v>
      </c>
      <c r="I60" s="1"/>
      <c r="J60" s="5">
        <f t="shared" ref="J60:J62" si="37">IF(H$12=0,0,H60/H$12)</f>
        <v>3.8588754134509372E-2</v>
      </c>
      <c r="K60" s="1"/>
      <c r="L60" s="1">
        <f t="shared" ref="L60:L62" si="38">+D60-H60</f>
        <v>28090.559999999998</v>
      </c>
      <c r="M60" s="1"/>
      <c r="N60" s="5">
        <f t="shared" ref="N60:N62" si="39">IF(H60=0,0,L60/H60)</f>
        <v>4.0129371428571421</v>
      </c>
      <c r="O60" s="14"/>
      <c r="P60" s="1">
        <f>SUM(OSRRefP22_10x_0)</f>
        <v>35183.15</v>
      </c>
      <c r="Q60" s="1"/>
      <c r="R60" s="5">
        <f t="shared" ref="R60:R62" si="40">IF(P$12=0,0,P60/P$12)</f>
        <v>0.40057325348392386</v>
      </c>
      <c r="S60" s="1"/>
      <c r="T60" s="1">
        <f>SUM(OSRRefT22_10x_0)</f>
        <v>14000</v>
      </c>
      <c r="U60" s="1"/>
      <c r="V60" s="5">
        <f t="shared" ref="V60:V62" si="41">IF(T$12=0,0,T60/T$12)</f>
        <v>6.0324805991115019E-2</v>
      </c>
      <c r="W60" s="1"/>
      <c r="X60" s="1">
        <f t="shared" ref="X60:X62" si="42">+P60-T60</f>
        <v>21183.15</v>
      </c>
      <c r="Y60" s="1"/>
      <c r="Z60" s="5">
        <f t="shared" ref="Z60:Z62" si="43">IF(T60=0,0,X60/T60)</f>
        <v>1.513082142857143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6"/>
        <v>0</v>
      </c>
      <c r="G61" s="2"/>
      <c r="H61" s="6">
        <v>7000</v>
      </c>
      <c r="I61" s="2"/>
      <c r="J61" s="7">
        <f t="shared" si="37"/>
        <v>3.8588754134509372E-2</v>
      </c>
      <c r="K61" s="2"/>
      <c r="L61" s="6">
        <f t="shared" si="38"/>
        <v>-7000</v>
      </c>
      <c r="M61" s="2"/>
      <c r="N61" s="7">
        <f t="shared" si="39"/>
        <v>-1</v>
      </c>
      <c r="O61" s="11"/>
      <c r="P61" s="6"/>
      <c r="Q61" s="2"/>
      <c r="R61" s="7">
        <f t="shared" si="40"/>
        <v>0</v>
      </c>
      <c r="S61" s="2"/>
      <c r="T61" s="6">
        <v>14000</v>
      </c>
      <c r="U61" s="2"/>
      <c r="V61" s="7">
        <f t="shared" si="41"/>
        <v>6.0324805991115019E-2</v>
      </c>
      <c r="W61" s="2"/>
      <c r="X61" s="6">
        <f t="shared" si="42"/>
        <v>-14000</v>
      </c>
      <c r="Y61" s="2"/>
      <c r="Z61" s="7">
        <f t="shared" si="43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35090.559999999998</v>
      </c>
      <c r="E62" s="2"/>
      <c r="F62" s="7">
        <f t="shared" si="36"/>
        <v>0.52482852485006204</v>
      </c>
      <c r="G62" s="2"/>
      <c r="H62" s="6"/>
      <c r="I62" s="2"/>
      <c r="J62" s="7">
        <f t="shared" si="37"/>
        <v>0</v>
      </c>
      <c r="K62" s="2"/>
      <c r="L62" s="6">
        <f t="shared" si="38"/>
        <v>35090.559999999998</v>
      </c>
      <c r="M62" s="2"/>
      <c r="N62" s="7">
        <f t="shared" si="39"/>
        <v>0</v>
      </c>
      <c r="O62" s="11"/>
      <c r="P62" s="6">
        <v>35183.15</v>
      </c>
      <c r="Q62" s="2"/>
      <c r="R62" s="7">
        <f t="shared" si="40"/>
        <v>0.40057325348392386</v>
      </c>
      <c r="S62" s="2"/>
      <c r="T62" s="6"/>
      <c r="U62" s="2"/>
      <c r="V62" s="7">
        <f t="shared" si="41"/>
        <v>0</v>
      </c>
      <c r="W62" s="2"/>
      <c r="X62" s="6">
        <f t="shared" si="42"/>
        <v>35183.15</v>
      </c>
      <c r="Y62" s="2"/>
      <c r="Z62" s="7">
        <f t="shared" si="43"/>
        <v>0</v>
      </c>
    </row>
    <row r="63" spans="1:26" s="29" customFormat="1" outlineLevel="1" collapsed="1" x14ac:dyDescent="0.25">
      <c r="A63" s="28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SUM(OSRRefD22_11x_0)</f>
        <v>137.15</v>
      </c>
      <c r="E63" s="1"/>
      <c r="F63" s="5">
        <f t="shared" ref="F63:F64" si="44">IF(D$12=0,0,D63/D$12)</f>
        <v>2.0512705463573682E-3</v>
      </c>
      <c r="G63" s="1"/>
      <c r="H63" s="1">
        <f>SUM(OSRRefH22_11x_0)</f>
        <v>700</v>
      </c>
      <c r="I63" s="1"/>
      <c r="J63" s="5">
        <f t="shared" ref="J63:J64" si="45">IF(H$12=0,0,H63/H$12)</f>
        <v>3.858875413450937E-3</v>
      </c>
      <c r="K63" s="1"/>
      <c r="L63" s="1">
        <f t="shared" ref="L63:L64" si="46">+D63-H63</f>
        <v>-562.85</v>
      </c>
      <c r="M63" s="1"/>
      <c r="N63" s="5">
        <f t="shared" ref="N63:N64" si="47">IF(H63=0,0,L63/H63)</f>
        <v>-0.80407142857142866</v>
      </c>
      <c r="O63" s="14"/>
      <c r="P63" s="1">
        <f>SUM(OSRRefP22_11x_0)</f>
        <v>292.08</v>
      </c>
      <c r="Q63" s="1"/>
      <c r="R63" s="5">
        <f t="shared" ref="R63:R64" si="48">IF(P$12=0,0,P63/P$12)</f>
        <v>3.3254394753620548E-3</v>
      </c>
      <c r="S63" s="1"/>
      <c r="T63" s="1">
        <f>SUM(OSRRefT22_11x_0)</f>
        <v>1400</v>
      </c>
      <c r="U63" s="1"/>
      <c r="V63" s="5">
        <f t="shared" ref="V63:V64" si="49">IF(T$12=0,0,T63/T$12)</f>
        <v>6.0324805991115015E-3</v>
      </c>
      <c r="W63" s="1"/>
      <c r="X63" s="1">
        <f t="shared" ref="X63:X64" si="50">+P63-T63</f>
        <v>-1107.92</v>
      </c>
      <c r="Y63" s="1"/>
      <c r="Z63" s="5">
        <f t="shared" ref="Z63:Z64" si="51">IF(T63=0,0,X63/T63)</f>
        <v>-0.79137142857142861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137.15</v>
      </c>
      <c r="E64" s="2"/>
      <c r="F64" s="7">
        <f t="shared" si="44"/>
        <v>2.0512705463573682E-3</v>
      </c>
      <c r="G64" s="2"/>
      <c r="H64" s="6">
        <v>700</v>
      </c>
      <c r="I64" s="2"/>
      <c r="J64" s="7">
        <f t="shared" si="45"/>
        <v>3.858875413450937E-3</v>
      </c>
      <c r="K64" s="2"/>
      <c r="L64" s="6">
        <f t="shared" si="46"/>
        <v>-562.85</v>
      </c>
      <c r="M64" s="2"/>
      <c r="N64" s="7">
        <f t="shared" si="47"/>
        <v>-0.80407142857142866</v>
      </c>
      <c r="O64" s="11"/>
      <c r="P64" s="6">
        <v>292.08</v>
      </c>
      <c r="Q64" s="2"/>
      <c r="R64" s="7">
        <f t="shared" si="48"/>
        <v>3.3254394753620548E-3</v>
      </c>
      <c r="S64" s="2"/>
      <c r="T64" s="6">
        <v>1400</v>
      </c>
      <c r="U64" s="2"/>
      <c r="V64" s="7">
        <f t="shared" si="49"/>
        <v>6.0324805991115015E-3</v>
      </c>
      <c r="W64" s="2"/>
      <c r="X64" s="6">
        <f t="shared" si="50"/>
        <v>-1107.92</v>
      </c>
      <c r="Y64" s="2"/>
      <c r="Z64" s="7">
        <f t="shared" si="51"/>
        <v>-0.79137142857142861</v>
      </c>
    </row>
    <row r="65" spans="1:26" s="61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2" customFormat="1" collapsed="1" x14ac:dyDescent="0.25">
      <c r="A66" s="10"/>
      <c r="B66" s="25" t="s">
        <v>0</v>
      </c>
      <c r="C66" s="10"/>
      <c r="D66" s="4">
        <f>SUM(OSRRefD25x_0)</f>
        <v>325</v>
      </c>
      <c r="E66" s="4"/>
      <c r="F66" s="12">
        <f t="shared" ref="F66:F67" si="52">IF(D$12=0,0,D66/D$12)</f>
        <v>4.8608306785719625E-3</v>
      </c>
      <c r="G66" s="4"/>
      <c r="H66" s="4">
        <f>SUM(OSRRefH25x_0)</f>
        <v>4500</v>
      </c>
      <c r="I66" s="4"/>
      <c r="J66" s="12">
        <f t="shared" ref="J66:J67" si="53">IF(H$12=0,0,H66/H$12)</f>
        <v>2.4807056229327454E-2</v>
      </c>
      <c r="K66" s="4"/>
      <c r="L66" s="4">
        <f t="shared" ref="L66:L67" si="54">+D66-H66</f>
        <v>-4175</v>
      </c>
      <c r="M66" s="4"/>
      <c r="N66" s="12">
        <f t="shared" ref="N66:N67" si="55">IF(H66=0,0,L66/H66)</f>
        <v>-0.92777777777777781</v>
      </c>
      <c r="O66" s="10"/>
      <c r="P66" s="4">
        <f>SUM(OSRRefP25x_0)</f>
        <v>490</v>
      </c>
      <c r="Q66" s="4"/>
      <c r="R66" s="12">
        <f t="shared" ref="R66:R67" si="56">IF(P$12=0,0,P66/P$12)</f>
        <v>5.5788323162400946E-3</v>
      </c>
      <c r="S66" s="4"/>
      <c r="T66" s="4">
        <f>SUM(OSRRefT25x_0)</f>
        <v>6000</v>
      </c>
      <c r="U66" s="4"/>
      <c r="V66" s="12">
        <f t="shared" ref="V66:V67" si="57">IF(T$12=0,0,T66/T$12)</f>
        <v>2.5853488281906437E-2</v>
      </c>
      <c r="W66" s="4"/>
      <c r="X66" s="4">
        <f t="shared" ref="X66:X67" si="58">+P66-T66</f>
        <v>-5510</v>
      </c>
      <c r="Y66" s="4"/>
      <c r="Z66" s="12">
        <f t="shared" ref="Z66:Z67" si="59">IF(T66=0,0,X66/T66)</f>
        <v>-0.91833333333333333</v>
      </c>
    </row>
    <row r="67" spans="1:26" s="24" customFormat="1" hidden="1" outlineLevel="1" x14ac:dyDescent="0.25">
      <c r="A67" s="51"/>
      <c r="B67" s="11" t="str">
        <f>CONCATENATE("          ", "9150", " - ", "MISC. INCOME")</f>
        <v xml:space="preserve">          9150 - MISC. INCOME</v>
      </c>
      <c r="C67" s="11"/>
      <c r="D67" s="2">
        <f>--325</f>
        <v>325</v>
      </c>
      <c r="E67" s="2"/>
      <c r="F67" s="23">
        <f t="shared" si="52"/>
        <v>4.8608306785719625E-3</v>
      </c>
      <c r="G67" s="2"/>
      <c r="H67" s="2">
        <v>4500</v>
      </c>
      <c r="I67" s="2"/>
      <c r="J67" s="23">
        <f t="shared" si="53"/>
        <v>2.4807056229327454E-2</v>
      </c>
      <c r="K67" s="2"/>
      <c r="L67" s="2">
        <f t="shared" si="54"/>
        <v>-4175</v>
      </c>
      <c r="M67" s="2"/>
      <c r="N67" s="23">
        <f t="shared" si="55"/>
        <v>-0.92777777777777781</v>
      </c>
      <c r="O67" s="11"/>
      <c r="P67" s="2">
        <f>--490</f>
        <v>490</v>
      </c>
      <c r="Q67" s="2"/>
      <c r="R67" s="23">
        <f t="shared" si="56"/>
        <v>5.5788323162400946E-3</v>
      </c>
      <c r="S67" s="2"/>
      <c r="T67" s="2">
        <v>6000</v>
      </c>
      <c r="U67" s="2"/>
      <c r="V67" s="23">
        <f t="shared" si="57"/>
        <v>2.5853488281906437E-2</v>
      </c>
      <c r="W67" s="2"/>
      <c r="X67" s="2">
        <f t="shared" si="58"/>
        <v>-5510</v>
      </c>
      <c r="Y67" s="2"/>
      <c r="Z67" s="23">
        <f t="shared" si="59"/>
        <v>-0.91833333333333333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2" customFormat="1" x14ac:dyDescent="0.25">
      <c r="A69" s="10"/>
      <c r="B69" s="26" t="s">
        <v>3</v>
      </c>
      <c r="C69" s="26"/>
      <c r="D69" s="21">
        <f>+D17-D19+D66</f>
        <v>10086.040000000001</v>
      </c>
      <c r="E69" s="13"/>
      <c r="F69" s="20">
        <f>IF(D$12=0,0,D69/D$12)</f>
        <v>0.15085086971478143</v>
      </c>
      <c r="G69" s="13"/>
      <c r="H69" s="21">
        <f>+H17-H19+H66</f>
        <v>28050.958466384618</v>
      </c>
      <c r="I69" s="13"/>
      <c r="J69" s="20">
        <f>IF(H$12=0,0,H69/H$12)</f>
        <v>0.15463593421380717</v>
      </c>
      <c r="K69" s="16"/>
      <c r="L69" s="21">
        <f>+D69-H69</f>
        <v>-17964.918466384617</v>
      </c>
      <c r="M69" s="16"/>
      <c r="N69" s="20">
        <f>IF(H69=0,0,L69/H69)</f>
        <v>-0.6404386676452859</v>
      </c>
      <c r="O69" s="25"/>
      <c r="P69" s="21">
        <f>+P17-P19+P66</f>
        <v>10086.180000000008</v>
      </c>
      <c r="Q69" s="13"/>
      <c r="R69" s="20">
        <f>IF(P$12=0,0,P69/P$12)</f>
        <v>0.11483491210492767</v>
      </c>
      <c r="S69" s="13"/>
      <c r="T69" s="21">
        <f>+T17-T19+T66</f>
        <v>35815.200463115383</v>
      </c>
      <c r="U69" s="13"/>
      <c r="V69" s="20">
        <f>IF(T$12=0,0,T69/T$12)</f>
        <v>0.15432464424788059</v>
      </c>
      <c r="W69" s="16"/>
      <c r="X69" s="21">
        <f>+P69-T69</f>
        <v>-25729.020463115376</v>
      </c>
      <c r="Y69" s="16"/>
      <c r="Z69" s="20">
        <f>IF(T69=0,0,X69/T69)</f>
        <v>-0.71838270149046479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2" customFormat="1" x14ac:dyDescent="0.25">
      <c r="A71" s="52"/>
      <c r="B71" s="10" t="s">
        <v>14</v>
      </c>
      <c r="C71" s="10"/>
      <c r="D71" s="4">
        <v>4743.34</v>
      </c>
      <c r="E71" s="4"/>
      <c r="F71" s="12">
        <f>IF(D$12=0,0,D71/D$12)</f>
        <v>7.0943300279684721E-2</v>
      </c>
      <c r="G71" s="4"/>
      <c r="H71" s="4">
        <v>13282</v>
      </c>
      <c r="I71" s="4"/>
      <c r="J71" s="12">
        <f>IF(H$12=0,0,H71/H$12)</f>
        <v>7.3219404630650492E-2</v>
      </c>
      <c r="K71" s="4"/>
      <c r="L71" s="4">
        <f>+D71-H71</f>
        <v>-8538.66</v>
      </c>
      <c r="M71" s="4"/>
      <c r="N71" s="12">
        <f>IF(H71=0,0,L71/H71)</f>
        <v>-0.64287456708327062</v>
      </c>
      <c r="O71" s="10"/>
      <c r="P71" s="4">
        <v>14829.270000000002</v>
      </c>
      <c r="Q71" s="4"/>
      <c r="R71" s="12">
        <f>IF(P$12=0,0,P71/P$12)</f>
        <v>0.16883675653520361</v>
      </c>
      <c r="S71" s="4"/>
      <c r="T71" s="4">
        <v>37899</v>
      </c>
      <c r="U71" s="4"/>
      <c r="V71" s="12">
        <f>IF(T$12=0,0,T71/T$12)</f>
        <v>0.163303558732662</v>
      </c>
      <c r="W71" s="4"/>
      <c r="X71" s="4">
        <f>+P71-T71</f>
        <v>-23069.729999999996</v>
      </c>
      <c r="Y71" s="4"/>
      <c r="Z71" s="12">
        <f>IF(T71=0,0,X71/T71)</f>
        <v>-0.60871606110979171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2" customFormat="1" ht="15.75" thickBot="1" x14ac:dyDescent="0.3">
      <c r="A73" s="10"/>
      <c r="B73" s="26" t="s">
        <v>4</v>
      </c>
      <c r="C73" s="26"/>
      <c r="D73" s="33">
        <f>+D69-D71</f>
        <v>5342.7000000000007</v>
      </c>
      <c r="E73" s="13"/>
      <c r="F73" s="31">
        <f>IF(D$12=0,0,D73/D$12)</f>
        <v>7.9907569435096706E-2</v>
      </c>
      <c r="G73" s="13"/>
      <c r="H73" s="33">
        <f>+H69-H71</f>
        <v>14768.958466384618</v>
      </c>
      <c r="I73" s="13"/>
      <c r="J73" s="31">
        <f>IF(H$12=0,0,H73/H$12)</f>
        <v>8.1416529583156663E-2</v>
      </c>
      <c r="K73" s="16"/>
      <c r="L73" s="33">
        <f>D73-H73</f>
        <v>-9426.2584663846173</v>
      </c>
      <c r="M73" s="16"/>
      <c r="N73" s="31">
        <f>IF(H73=0,0,L73/H73)</f>
        <v>-0.6382480178165284</v>
      </c>
      <c r="O73" s="25"/>
      <c r="P73" s="33">
        <f>+P69-P71</f>
        <v>-4743.0899999999947</v>
      </c>
      <c r="Q73" s="13"/>
      <c r="R73" s="31">
        <f>IF(P$12=0,0,P73/P$12)</f>
        <v>-5.4001844430275919E-2</v>
      </c>
      <c r="S73" s="13"/>
      <c r="T73" s="33">
        <f>+T69-T71</f>
        <v>-2083.7995368846168</v>
      </c>
      <c r="U73" s="13"/>
      <c r="V73" s="31">
        <f>IF(T$12=0,0,T73/T$12)</f>
        <v>-8.9789144847814174E-3</v>
      </c>
      <c r="W73" s="16"/>
      <c r="X73" s="33">
        <f>P73-T73</f>
        <v>-2659.2904631153779</v>
      </c>
      <c r="Y73" s="16"/>
      <c r="Z73" s="31">
        <f>IF(T73=0,0,X73/T73)</f>
        <v>1.2761738430420944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2" customFormat="1" ht="15.75" thickBot="1" x14ac:dyDescent="0.3">
      <c r="A76" s="10"/>
      <c r="B76" s="26" t="s">
        <v>5</v>
      </c>
      <c r="C76" s="26"/>
      <c r="D76" s="32">
        <f>SUM(D73:D75)</f>
        <v>5342.7000000000007</v>
      </c>
      <c r="E76" s="13"/>
      <c r="F76" s="35">
        <f>IF(D$12=0,0,D76/D$12)</f>
        <v>7.9907569435096706E-2</v>
      </c>
      <c r="G76" s="13"/>
      <c r="H76" s="32">
        <f>SUM(H73:H75)</f>
        <v>14768.958466384618</v>
      </c>
      <c r="I76" s="13"/>
      <c r="J76" s="35">
        <f>IF(H$12=0,0,H76/H$12)</f>
        <v>8.1416529583156663E-2</v>
      </c>
      <c r="K76" s="16"/>
      <c r="L76" s="32">
        <f>+D76-H76</f>
        <v>-9426.2584663846173</v>
      </c>
      <c r="M76" s="16"/>
      <c r="N76" s="35">
        <f>IF(H76=0,0,L76/H76)</f>
        <v>-0.6382480178165284</v>
      </c>
      <c r="O76" s="25"/>
      <c r="P76" s="32">
        <f>SUM(P73:P75)</f>
        <v>-4743.0899999999947</v>
      </c>
      <c r="Q76" s="13"/>
      <c r="R76" s="35">
        <f>IF(P$12=0,0,P76/P$12)</f>
        <v>-5.4001844430275919E-2</v>
      </c>
      <c r="S76" s="13"/>
      <c r="T76" s="32">
        <f>SUM(T73:T75)</f>
        <v>-2083.7995368846168</v>
      </c>
      <c r="U76" s="13"/>
      <c r="V76" s="35">
        <f>IF(T$12=0,0,T76/T$12)</f>
        <v>-8.9789144847814174E-3</v>
      </c>
      <c r="W76" s="16"/>
      <c r="X76" s="32">
        <f>+P76-T76</f>
        <v>-2659.2904631153779</v>
      </c>
      <c r="Y76" s="16"/>
      <c r="Z76" s="35">
        <f>IF(T76=0,0,X76/T76)</f>
        <v>1.2761738430420944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9">
        <v>44113.690112997683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2" t="s">
        <v>314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3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8" t="s">
        <v>13</v>
      </c>
    </row>
    <row r="3" spans="1:26" x14ac:dyDescent="0.25">
      <c r="D3" s="58" t="s">
        <v>296</v>
      </c>
      <c r="E3" s="17"/>
      <c r="F3" s="49"/>
      <c r="G3" s="17"/>
      <c r="H3" s="17"/>
      <c r="I3" s="17"/>
      <c r="J3" s="40"/>
      <c r="K3" s="17"/>
      <c r="L3" s="17"/>
      <c r="M3" s="17"/>
      <c r="N3" s="49"/>
      <c r="O3" s="53"/>
      <c r="P3" s="17"/>
      <c r="Q3" s="17"/>
      <c r="R3" s="40"/>
      <c r="S3" s="17"/>
      <c r="T3" s="17"/>
      <c r="U3" s="17"/>
      <c r="V3" s="40"/>
      <c r="W3" s="17"/>
      <c r="X3" s="17"/>
      <c r="Y3" s="17"/>
      <c r="Z3" s="40"/>
    </row>
    <row r="4" spans="1:26" x14ac:dyDescent="0.25">
      <c r="D4" s="58" t="e">
        <f ca="1">CONCATENATE("Period ",RIGHT(_xll.OneStop.ReportPlayer.OSRFunctions.OSRGet("Period","PeriodId"),2),", ",_xll.OneStop.ReportPlayer.OSRFunctions.OSRGet("Period","Year"))</f>
        <v>#NAME?</v>
      </c>
      <c r="E4" s="17"/>
      <c r="F4" s="49"/>
      <c r="G4" s="17"/>
      <c r="H4" s="17"/>
      <c r="I4" s="17"/>
      <c r="J4" s="40"/>
      <c r="K4" s="17"/>
      <c r="L4" s="17"/>
      <c r="M4" s="17"/>
      <c r="N4" s="49"/>
      <c r="O4" s="53"/>
      <c r="P4" s="17"/>
      <c r="Q4" s="17"/>
      <c r="R4" s="40"/>
      <c r="S4" s="17"/>
      <c r="T4" s="17"/>
      <c r="U4" s="17"/>
      <c r="V4" s="40"/>
      <c r="W4" s="17"/>
      <c r="X4" s="17"/>
      <c r="Y4" s="17"/>
      <c r="Z4" s="40"/>
    </row>
    <row r="5" spans="1:26" x14ac:dyDescent="0.25">
      <c r="A5" s="22"/>
      <c r="D5" s="65" t="e">
        <f ca="1">_xll.OneStop.ReportPlayer.OSRFunctions.OSRGet("Period","PeriodEnd")</f>
        <v>#NAME?</v>
      </c>
      <c r="E5" s="17"/>
      <c r="F5" s="49"/>
      <c r="G5" s="17"/>
      <c r="H5" s="17"/>
      <c r="I5" s="17"/>
      <c r="J5" s="40"/>
      <c r="K5" s="17"/>
      <c r="L5" s="17"/>
      <c r="M5" s="17"/>
      <c r="N5" s="49"/>
      <c r="O5" s="53"/>
      <c r="P5" s="17"/>
      <c r="Q5" s="17"/>
      <c r="R5" s="40"/>
      <c r="S5" s="17"/>
      <c r="T5" s="17"/>
      <c r="U5" s="17"/>
      <c r="V5" s="40"/>
      <c r="W5" s="17"/>
      <c r="X5" s="17"/>
      <c r="Y5" s="17"/>
      <c r="Z5" s="40"/>
    </row>
    <row r="6" spans="1:26" x14ac:dyDescent="0.25">
      <c r="A6" s="22"/>
      <c r="B6" s="44"/>
      <c r="C6" s="44"/>
      <c r="D6" s="22" t="e">
        <f ca="1">CONCATENATE("Department ",_xll.OneStop.ReportPlayer.OSRFunctions.OSRGet("d_dim0","Code"), " - ", _xll.OneStop.ReportPlayer.OSRFunctions.OSRGet("d_dim0","Description"))</f>
        <v>#NAME?</v>
      </c>
      <c r="E6" s="17"/>
      <c r="F6" s="49"/>
      <c r="G6" s="17"/>
      <c r="H6" s="17"/>
      <c r="I6" s="17"/>
      <c r="J6" s="40"/>
      <c r="K6" s="17"/>
      <c r="L6" s="17"/>
      <c r="M6" s="17"/>
      <c r="N6" s="49"/>
      <c r="O6" s="57"/>
      <c r="P6" s="17"/>
      <c r="Q6" s="17"/>
      <c r="R6" s="40"/>
      <c r="S6" s="17"/>
      <c r="T6" s="17"/>
      <c r="U6" s="17"/>
      <c r="V6" s="40"/>
      <c r="W6" s="17"/>
      <c r="X6" s="17"/>
      <c r="Y6" s="17"/>
      <c r="Z6" s="40"/>
    </row>
    <row r="7" spans="1:26" x14ac:dyDescent="0.25">
      <c r="B7" s="55"/>
    </row>
    <row r="8" spans="1:26" x14ac:dyDescent="0.25">
      <c r="B8" s="55"/>
    </row>
    <row r="9" spans="1:26" x14ac:dyDescent="0.25">
      <c r="B9" s="9"/>
      <c r="C9" s="9"/>
      <c r="D9" s="15" t="s">
        <v>294</v>
      </c>
      <c r="E9" s="15"/>
      <c r="F9" s="38"/>
      <c r="G9" s="15"/>
      <c r="H9" s="15"/>
      <c r="I9" s="15"/>
      <c r="J9" s="46"/>
      <c r="K9" s="15"/>
      <c r="L9" s="15"/>
      <c r="M9" s="15"/>
      <c r="N9" s="38"/>
      <c r="P9" s="15" t="s">
        <v>295</v>
      </c>
      <c r="Q9" s="15"/>
      <c r="R9" s="38"/>
      <c r="S9" s="15"/>
      <c r="T9" s="15"/>
      <c r="U9" s="15"/>
      <c r="V9" s="46"/>
      <c r="W9" s="15"/>
      <c r="X9" s="15"/>
      <c r="Y9" s="15"/>
      <c r="Z9" s="38"/>
    </row>
    <row r="10" spans="1:26" x14ac:dyDescent="0.25">
      <c r="A10" s="10"/>
      <c r="B10" s="60"/>
      <c r="C10" s="10"/>
      <c r="D10" s="42" t="s">
        <v>10</v>
      </c>
      <c r="E10" s="34"/>
      <c r="F10" s="37" t="s">
        <v>15</v>
      </c>
      <c r="G10" s="34"/>
      <c r="H10" s="48" t="s">
        <v>11</v>
      </c>
      <c r="I10" s="34"/>
      <c r="J10" s="45" t="s">
        <v>16</v>
      </c>
      <c r="K10" s="10"/>
      <c r="L10" s="42" t="s">
        <v>12</v>
      </c>
      <c r="M10" s="10"/>
      <c r="N10" s="37" t="s">
        <v>17</v>
      </c>
      <c r="O10" s="10"/>
      <c r="P10" s="56" t="s">
        <v>10</v>
      </c>
      <c r="Q10" s="34"/>
      <c r="R10" s="37" t="s">
        <v>15</v>
      </c>
      <c r="S10" s="34"/>
      <c r="T10" s="48" t="s">
        <v>11</v>
      </c>
      <c r="U10" s="34"/>
      <c r="V10" s="45" t="s">
        <v>16</v>
      </c>
      <c r="W10" s="10"/>
      <c r="X10" s="42" t="s">
        <v>12</v>
      </c>
      <c r="Y10" s="10"/>
      <c r="Z10" s="37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2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3"/>
      <c r="G13" s="2"/>
      <c r="H13" s="2" t="e">
        <f ca="1">_xll.OneStop.ReportPlayer.OSRFunctions.OSRGet("GL_F_Trans","Value1")</f>
        <v>#NAME?</v>
      </c>
      <c r="I13" s="2"/>
      <c r="J13" s="23"/>
      <c r="K13" s="2"/>
      <c r="L13" s="2" t="e">
        <f t="shared" ca="1" si="0"/>
        <v>#NAME?</v>
      </c>
      <c r="M13" s="2"/>
      <c r="N13" s="23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3"/>
      <c r="S13" s="2"/>
      <c r="T13" s="2" t="e">
        <f ca="1">_xll.OneStop.ReportPlayer.OSRFunctions.OSRGet("GL_F_Trans","Value1")</f>
        <v>#NAME?</v>
      </c>
      <c r="U13" s="2"/>
      <c r="V13" s="23"/>
      <c r="W13" s="2"/>
      <c r="X13" s="2" t="e">
        <f t="shared" ca="1" si="2"/>
        <v>#NAME?</v>
      </c>
      <c r="Y13" s="2"/>
      <c r="Z13" s="23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2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3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3" t="e">
        <f t="shared" ca="1" si="5"/>
        <v>#NAME?</v>
      </c>
      <c r="K16" s="2"/>
      <c r="L16" s="2" t="e">
        <f t="shared" ca="1" si="6"/>
        <v>#NAME?</v>
      </c>
      <c r="M16" s="2"/>
      <c r="N16" s="23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3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3" t="e">
        <f t="shared" ca="1" si="9"/>
        <v>#NAME?</v>
      </c>
      <c r="W16" s="2"/>
      <c r="X16" s="2" t="e">
        <f t="shared" ca="1" si="10"/>
        <v>#NAME?</v>
      </c>
      <c r="Y16" s="2"/>
      <c r="Z16" s="23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2" customFormat="1" x14ac:dyDescent="0.25">
      <c r="A18" s="10"/>
      <c r="B18" s="26" t="s">
        <v>6</v>
      </c>
      <c r="C18" s="26"/>
      <c r="D18" s="21" t="e">
        <f ca="1">D12-D15</f>
        <v>#NAME?</v>
      </c>
      <c r="E18" s="13"/>
      <c r="F18" s="20" t="e">
        <f ca="1">IF(D$12=0,0,D18/D$12)</f>
        <v>#NAME?</v>
      </c>
      <c r="G18" s="13"/>
      <c r="H18" s="21" t="e">
        <f ca="1">H12-H15</f>
        <v>#NAME?</v>
      </c>
      <c r="I18" s="13"/>
      <c r="J18" s="20" t="e">
        <f ca="1">IF(H$12=0,0,H18/H$12)</f>
        <v>#NAME?</v>
      </c>
      <c r="K18" s="16"/>
      <c r="L18" s="21" t="e">
        <f ca="1">+D18-H18</f>
        <v>#NAME?</v>
      </c>
      <c r="M18" s="16"/>
      <c r="N18" s="20" t="e">
        <f ca="1">IF(H18=0,0,L18/H18)</f>
        <v>#NAME?</v>
      </c>
      <c r="O18" s="25"/>
      <c r="P18" s="21" t="e">
        <f ca="1">P12-P15</f>
        <v>#NAME?</v>
      </c>
      <c r="Q18" s="13"/>
      <c r="R18" s="20" t="e">
        <f ca="1">IF(P$12=0,0,P18/P$12)</f>
        <v>#NAME?</v>
      </c>
      <c r="S18" s="13"/>
      <c r="T18" s="21" t="e">
        <f ca="1">T12-T15</f>
        <v>#NAME?</v>
      </c>
      <c r="U18" s="13"/>
      <c r="V18" s="20" t="e">
        <f ca="1">IF(T$12=0,0,T18/T$12)</f>
        <v>#NAME?</v>
      </c>
      <c r="W18" s="16"/>
      <c r="X18" s="21" t="e">
        <f ca="1">+P18-T18</f>
        <v>#NAME?</v>
      </c>
      <c r="Y18" s="16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2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0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0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0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0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0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0" t="e">
        <f t="shared" ref="Z20:Z22" ca="1" si="19">IF(T20=0,0,X20/T20)</f>
        <v>#NAME?</v>
      </c>
    </row>
    <row r="21" spans="1:26" s="29" customFormat="1" outlineLevel="1" collapsed="1" x14ac:dyDescent="0.25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2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3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3" t="e">
        <f t="shared" ca="1" si="21"/>
        <v>#NAME?</v>
      </c>
      <c r="K25" s="2"/>
      <c r="L25" s="2" t="e">
        <f t="shared" ca="1" si="22"/>
        <v>#NAME?</v>
      </c>
      <c r="M25" s="2"/>
      <c r="N25" s="23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3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3" t="e">
        <f t="shared" ca="1" si="25"/>
        <v>#NAME?</v>
      </c>
      <c r="W25" s="2"/>
      <c r="X25" s="2" t="e">
        <f t="shared" ca="1" si="26"/>
        <v>#NAME?</v>
      </c>
      <c r="Y25" s="2"/>
      <c r="Z25" s="23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2" customFormat="1" x14ac:dyDescent="0.25">
      <c r="A27" s="10"/>
      <c r="B27" s="26" t="s">
        <v>3</v>
      </c>
      <c r="C27" s="26"/>
      <c r="D27" s="21" t="e">
        <f ca="1">+D18-D20+D24</f>
        <v>#NAME?</v>
      </c>
      <c r="E27" s="13"/>
      <c r="F27" s="20" t="e">
        <f ca="1">IF(D$12=0,0,D27/D$12)</f>
        <v>#NAME?</v>
      </c>
      <c r="G27" s="13"/>
      <c r="H27" s="21" t="e">
        <f ca="1">+H18-H20+H24</f>
        <v>#NAME?</v>
      </c>
      <c r="I27" s="13"/>
      <c r="J27" s="20" t="e">
        <f ca="1">IF(H$12=0,0,H27/H$12)</f>
        <v>#NAME?</v>
      </c>
      <c r="K27" s="16"/>
      <c r="L27" s="21" t="e">
        <f ca="1">+D27-H27</f>
        <v>#NAME?</v>
      </c>
      <c r="M27" s="16"/>
      <c r="N27" s="20" t="e">
        <f ca="1">IF(H27=0,0,L27/H27)</f>
        <v>#NAME?</v>
      </c>
      <c r="O27" s="25"/>
      <c r="P27" s="21" t="e">
        <f ca="1">+P18-P20+P24</f>
        <v>#NAME?</v>
      </c>
      <c r="Q27" s="13"/>
      <c r="R27" s="20" t="e">
        <f ca="1">IF(P$12=0,0,P27/P$12)</f>
        <v>#NAME?</v>
      </c>
      <c r="S27" s="13"/>
      <c r="T27" s="21" t="e">
        <f ca="1">+T18-T20+T24</f>
        <v>#NAME?</v>
      </c>
      <c r="U27" s="13"/>
      <c r="V27" s="20" t="e">
        <f ca="1">IF(T$12=0,0,T27/T$12)</f>
        <v>#NAME?</v>
      </c>
      <c r="W27" s="16"/>
      <c r="X27" s="21" t="e">
        <f ca="1">+P27-T27</f>
        <v>#NAME?</v>
      </c>
      <c r="Y27" s="16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2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2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1" t="e">
        <f ca="1">IF(D$12=0,0,D31/D$12)</f>
        <v>#NAME?</v>
      </c>
      <c r="G31" s="13"/>
      <c r="H31" s="33" t="e">
        <f ca="1">+H27-H29</f>
        <v>#NAME?</v>
      </c>
      <c r="I31" s="13"/>
      <c r="J31" s="31" t="e">
        <f ca="1">IF(H$12=0,0,H31/H$12)</f>
        <v>#NAME?</v>
      </c>
      <c r="K31" s="16"/>
      <c r="L31" s="33" t="e">
        <f ca="1">D31-H31</f>
        <v>#NAME?</v>
      </c>
      <c r="M31" s="16"/>
      <c r="N31" s="31" t="e">
        <f ca="1">IF(H31=0,0,L31/H31)</f>
        <v>#NAME?</v>
      </c>
      <c r="O31" s="25"/>
      <c r="P31" s="33" t="e">
        <f ca="1">+P27-P29</f>
        <v>#NAME?</v>
      </c>
      <c r="Q31" s="13"/>
      <c r="R31" s="31" t="e">
        <f ca="1">IF(P$12=0,0,P31/P$12)</f>
        <v>#NAME?</v>
      </c>
      <c r="S31" s="13"/>
      <c r="T31" s="33" t="e">
        <f ca="1">+T27-T29</f>
        <v>#NAME?</v>
      </c>
      <c r="U31" s="13"/>
      <c r="V31" s="31" t="e">
        <f ca="1">IF(T$12=0,0,T31/T$12)</f>
        <v>#NAME?</v>
      </c>
      <c r="W31" s="16"/>
      <c r="X31" s="33" t="e">
        <f ca="1">P31-T31</f>
        <v>#NAME?</v>
      </c>
      <c r="Y31" s="16"/>
      <c r="Z31" s="31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2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2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2" customFormat="1" ht="15.75" thickBot="1" x14ac:dyDescent="0.3">
      <c r="A36" s="10"/>
      <c r="B36" s="26" t="s">
        <v>5</v>
      </c>
      <c r="C36" s="26"/>
      <c r="D36" s="32" t="e">
        <f ca="1">SUM(D31:D35)</f>
        <v>#NAME?</v>
      </c>
      <c r="E36" s="13"/>
      <c r="F36" s="35" t="e">
        <f ca="1">IF(D$12=0,0,D36/D$12)</f>
        <v>#NAME?</v>
      </c>
      <c r="G36" s="13"/>
      <c r="H36" s="32" t="e">
        <f ca="1">SUM(H31:H35)</f>
        <v>#NAME?</v>
      </c>
      <c r="I36" s="13"/>
      <c r="J36" s="35" t="e">
        <f ca="1">IF(H$12=0,0,H36/H$12)</f>
        <v>#NAME?</v>
      </c>
      <c r="K36" s="16"/>
      <c r="L36" s="32" t="e">
        <f ca="1">+D36-H36</f>
        <v>#NAME?</v>
      </c>
      <c r="M36" s="16"/>
      <c r="N36" s="35" t="e">
        <f ca="1">IF(H36=0,0,L36/H36)</f>
        <v>#NAME?</v>
      </c>
      <c r="O36" s="25"/>
      <c r="P36" s="32" t="e">
        <f ca="1">SUM(P31:P35)</f>
        <v>#NAME?</v>
      </c>
      <c r="Q36" s="13"/>
      <c r="R36" s="35" t="e">
        <f ca="1">IF(P$12=0,0,P36/P$12)</f>
        <v>#NAME?</v>
      </c>
      <c r="S36" s="13"/>
      <c r="T36" s="32" t="e">
        <f ca="1">SUM(T31:T35)</f>
        <v>#NAME?</v>
      </c>
      <c r="U36" s="13"/>
      <c r="V36" s="35" t="e">
        <f ca="1">IF(T$12=0,0,T36/T$12)</f>
        <v>#NAME?</v>
      </c>
      <c r="W36" s="16"/>
      <c r="X36" s="32" t="e">
        <f ca="1">+P36-T36</f>
        <v>#NAME?</v>
      </c>
      <c r="Y36" s="16"/>
      <c r="Z36" s="35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9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2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63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3766</vt:i4>
      </vt:variant>
    </vt:vector>
  </HeadingPairs>
  <TitlesOfParts>
    <vt:vector size="3863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'310 &amp; 491'!OSRRefD22_21x_0</vt:lpstr>
      <vt:lpstr>'331'!OSRRefD22_21x_0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'310 &amp; 491'!OSRRefH22_21x_0</vt:lpstr>
      <vt:lpstr>'331'!OSRRefH22_21x_0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'310 &amp; 491'!OSRRefP22_21x_0</vt:lpstr>
      <vt:lpstr>'331'!OSRRefP22_21x_0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'310 &amp; 491'!OSRRefT22_21x_0</vt:lpstr>
      <vt:lpstr>'331'!OSRRefT22_21x_0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2020-10-10T00:37:03Z</dcterms:modified>
</cp:coreProperties>
</file>